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0290" windowHeight="1195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90" i="1" l="1"/>
  <c r="G90" i="1"/>
  <c r="F185" i="1"/>
  <c r="G185" i="1"/>
  <c r="F182" i="1"/>
  <c r="E182" i="1"/>
  <c r="F178" i="1"/>
  <c r="E178" i="1"/>
  <c r="F177" i="1"/>
  <c r="E177" i="1"/>
  <c r="G177" i="1"/>
  <c r="F173" i="1"/>
  <c r="E173" i="1"/>
  <c r="G173" i="1"/>
  <c r="F172" i="1"/>
  <c r="E172" i="1"/>
  <c r="G172" i="1"/>
  <c r="F171" i="1"/>
  <c r="E171" i="1"/>
  <c r="F170" i="1"/>
  <c r="E170" i="1"/>
  <c r="F169" i="1"/>
  <c r="E169" i="1"/>
  <c r="G169" i="1"/>
  <c r="F167" i="1"/>
  <c r="E167" i="1"/>
  <c r="F163" i="1"/>
  <c r="F161" i="1"/>
  <c r="E161" i="1"/>
  <c r="G161" i="1"/>
  <c r="F160" i="1"/>
  <c r="G160" i="1"/>
  <c r="F156" i="1"/>
  <c r="F155" i="1"/>
  <c r="F153" i="1"/>
  <c r="F152" i="1"/>
  <c r="G152" i="1"/>
  <c r="F150" i="1"/>
  <c r="E150" i="1"/>
  <c r="E149" i="1"/>
  <c r="F148" i="1"/>
  <c r="E148" i="1"/>
  <c r="F147" i="1"/>
  <c r="G147" i="1"/>
  <c r="F145" i="1"/>
  <c r="G145" i="1"/>
  <c r="F142" i="1"/>
  <c r="F141" i="1"/>
  <c r="E141" i="1"/>
  <c r="F140" i="1"/>
  <c r="G140" i="1"/>
  <c r="F139" i="1"/>
  <c r="G139" i="1"/>
  <c r="F138" i="1"/>
  <c r="F137" i="1"/>
  <c r="F136" i="1"/>
  <c r="G136" i="1"/>
  <c r="F134" i="1"/>
  <c r="G134" i="1"/>
  <c r="F133" i="1"/>
  <c r="G133" i="1"/>
  <c r="E132" i="1"/>
  <c r="F132" i="1"/>
  <c r="F131" i="1"/>
  <c r="F130" i="1"/>
  <c r="G130" i="1"/>
  <c r="F128" i="1"/>
  <c r="F126" i="1"/>
  <c r="E126" i="1"/>
  <c r="F125" i="1"/>
  <c r="F124" i="1"/>
  <c r="G124" i="1"/>
  <c r="F123" i="1"/>
  <c r="F120" i="1"/>
  <c r="F119" i="1"/>
  <c r="F118" i="1"/>
  <c r="G118" i="1"/>
  <c r="F117" i="1"/>
  <c r="E115" i="1"/>
  <c r="F113" i="1"/>
  <c r="E113" i="1"/>
  <c r="E112" i="1"/>
  <c r="F112" i="1"/>
  <c r="F111" i="1"/>
  <c r="E111" i="1"/>
  <c r="G111" i="1"/>
  <c r="F110" i="1"/>
  <c r="E110" i="1"/>
  <c r="E109" i="1"/>
  <c r="F109" i="1"/>
  <c r="E108" i="1"/>
  <c r="F108" i="1"/>
  <c r="G108" i="1"/>
  <c r="F107" i="1"/>
  <c r="E107" i="1"/>
  <c r="F106" i="1"/>
  <c r="E106" i="1"/>
  <c r="G106" i="1"/>
  <c r="F105" i="1"/>
  <c r="E105" i="1"/>
  <c r="G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G97" i="1"/>
  <c r="F96" i="1"/>
  <c r="E96" i="1"/>
  <c r="F95" i="1"/>
  <c r="G95" i="1"/>
  <c r="E95" i="1"/>
  <c r="F94" i="1"/>
  <c r="E94" i="1"/>
  <c r="G94" i="1"/>
  <c r="F93" i="1"/>
  <c r="F91" i="1"/>
  <c r="G91" i="1"/>
  <c r="F89" i="1"/>
  <c r="G89" i="1"/>
  <c r="F87" i="1"/>
  <c r="F85" i="1"/>
  <c r="G85" i="1"/>
  <c r="F82" i="1"/>
  <c r="E82" i="1"/>
  <c r="F79" i="1"/>
  <c r="G79" i="1"/>
  <c r="E79" i="1"/>
  <c r="F78" i="1"/>
  <c r="G78" i="1"/>
  <c r="E78" i="1"/>
  <c r="F77" i="1"/>
  <c r="F73" i="1"/>
  <c r="E73" i="1"/>
  <c r="F72" i="1"/>
  <c r="E72" i="1"/>
  <c r="G72" i="1"/>
  <c r="F71" i="1"/>
  <c r="E71" i="1"/>
  <c r="F70" i="1"/>
  <c r="E70" i="1"/>
  <c r="F69" i="1"/>
  <c r="E69" i="1"/>
  <c r="F68" i="1"/>
  <c r="G68" i="1"/>
  <c r="E66" i="1"/>
  <c r="E65" i="1"/>
  <c r="F64" i="1"/>
  <c r="E64" i="1"/>
  <c r="F63" i="1"/>
  <c r="E63" i="1"/>
  <c r="G63" i="1"/>
  <c r="F62" i="1"/>
  <c r="E62" i="1"/>
  <c r="F61" i="1"/>
  <c r="E61" i="1"/>
  <c r="G61" i="1"/>
  <c r="F58" i="1"/>
  <c r="E58" i="1"/>
  <c r="F51" i="1"/>
  <c r="F50" i="1"/>
  <c r="E50" i="1"/>
  <c r="F49" i="1"/>
  <c r="F48" i="1"/>
  <c r="G48" i="1"/>
  <c r="F47" i="1"/>
  <c r="F46" i="1"/>
  <c r="E46" i="1"/>
  <c r="F45" i="1"/>
  <c r="E43" i="1"/>
  <c r="F43" i="1"/>
  <c r="G43" i="1"/>
  <c r="F41" i="1"/>
  <c r="F40" i="1"/>
  <c r="E40" i="1"/>
  <c r="F39" i="1"/>
  <c r="E39" i="1"/>
  <c r="G39" i="1"/>
  <c r="F38" i="1"/>
  <c r="E38" i="1"/>
  <c r="F37" i="1"/>
  <c r="E37" i="1"/>
  <c r="G37" i="1"/>
  <c r="F36" i="1"/>
  <c r="E36" i="1"/>
  <c r="F32" i="1"/>
  <c r="F31" i="1"/>
  <c r="E31" i="1"/>
  <c r="G31" i="1"/>
  <c r="F30" i="1"/>
  <c r="F29" i="1"/>
  <c r="F28" i="1"/>
  <c r="E28" i="1"/>
  <c r="G28" i="1"/>
  <c r="E27" i="1"/>
  <c r="F25" i="1"/>
  <c r="E25" i="1"/>
  <c r="F24" i="1"/>
  <c r="E24" i="1"/>
  <c r="F23" i="1"/>
  <c r="E23" i="1"/>
  <c r="G23" i="1"/>
  <c r="F22" i="1"/>
  <c r="E22" i="1"/>
  <c r="E89" i="1"/>
  <c r="F88" i="1"/>
  <c r="E184" i="1"/>
  <c r="E180" i="1"/>
  <c r="E128" i="1"/>
  <c r="F166" i="1"/>
  <c r="E145" i="1"/>
  <c r="F127" i="1"/>
  <c r="E116" i="1"/>
  <c r="G100" i="1"/>
  <c r="G99" i="1"/>
  <c r="E87" i="1"/>
  <c r="E84" i="1"/>
  <c r="E83" i="1"/>
  <c r="E81" i="1"/>
  <c r="F80" i="1"/>
  <c r="E80" i="1"/>
  <c r="E74" i="1"/>
  <c r="E67" i="1"/>
  <c r="E47" i="1"/>
  <c r="G46" i="1"/>
  <c r="G45" i="1"/>
  <c r="F42" i="1"/>
  <c r="G42" i="1"/>
  <c r="E42" i="1"/>
  <c r="G40" i="1"/>
  <c r="E44" i="1"/>
  <c r="G36" i="1"/>
  <c r="G32" i="1"/>
  <c r="E32" i="1"/>
  <c r="E34" i="1"/>
  <c r="F34" i="1"/>
  <c r="F33" i="1"/>
  <c r="E33" i="1"/>
  <c r="G33" i="1"/>
  <c r="G30" i="1"/>
  <c r="G29" i="1"/>
  <c r="E26" i="1"/>
  <c r="F26" i="1"/>
  <c r="F143" i="1"/>
  <c r="G142" i="1"/>
  <c r="G178" i="1"/>
  <c r="F151" i="1"/>
  <c r="G151" i="1"/>
  <c r="G148" i="1"/>
  <c r="G156" i="1"/>
  <c r="G141" i="1"/>
  <c r="G131" i="1"/>
  <c r="E152" i="1"/>
  <c r="E154" i="1"/>
  <c r="E160" i="1"/>
  <c r="G138" i="1"/>
  <c r="E133" i="1"/>
  <c r="G123" i="1"/>
  <c r="F115" i="1"/>
  <c r="G115" i="1"/>
  <c r="G113" i="1"/>
  <c r="G107" i="1"/>
  <c r="G104" i="1"/>
  <c r="G102" i="1"/>
  <c r="G98" i="1"/>
  <c r="G96" i="1"/>
  <c r="G92" i="1"/>
  <c r="E93" i="1"/>
  <c r="E91" i="1"/>
  <c r="G87" i="1"/>
  <c r="E85" i="1"/>
  <c r="E77" i="1"/>
  <c r="E68" i="1"/>
  <c r="G50" i="1"/>
  <c r="E49" i="1"/>
  <c r="G49" i="1"/>
  <c r="E45" i="1"/>
  <c r="E29" i="1"/>
  <c r="G25" i="1"/>
  <c r="G88" i="1"/>
  <c r="E174" i="1"/>
  <c r="G174" i="1"/>
  <c r="E168" i="1"/>
  <c r="E158" i="1"/>
  <c r="G153" i="1"/>
  <c r="E151" i="1"/>
  <c r="G150" i="1"/>
  <c r="E142" i="1"/>
  <c r="E131" i="1"/>
  <c r="G126" i="1"/>
  <c r="E125" i="1"/>
  <c r="E123" i="1"/>
  <c r="E120" i="1"/>
  <c r="E119" i="1"/>
  <c r="G119" i="1"/>
  <c r="E118" i="1"/>
  <c r="E117" i="1"/>
  <c r="G112" i="1"/>
  <c r="G103" i="1"/>
  <c r="E86" i="1"/>
  <c r="F86" i="1"/>
  <c r="G86" i="1"/>
  <c r="G82" i="1"/>
  <c r="E75" i="1"/>
  <c r="G69" i="1"/>
  <c r="F67" i="1"/>
  <c r="G67" i="1"/>
  <c r="F66" i="1"/>
  <c r="G66" i="1"/>
  <c r="G59" i="1"/>
  <c r="G47" i="1"/>
  <c r="E35" i="1"/>
  <c r="F35" i="1"/>
  <c r="G35" i="1"/>
  <c r="G24" i="1"/>
  <c r="F27" i="1"/>
  <c r="G27" i="1"/>
  <c r="G93" i="1"/>
  <c r="F184" i="1"/>
  <c r="G184" i="1"/>
  <c r="G182" i="1"/>
  <c r="G170" i="1"/>
  <c r="G166" i="1"/>
  <c r="E153" i="1"/>
  <c r="E144" i="1"/>
  <c r="G143" i="1"/>
  <c r="E143" i="1"/>
  <c r="E140" i="1"/>
  <c r="E139" i="1"/>
  <c r="E138" i="1"/>
  <c r="E135" i="1"/>
  <c r="E137" i="1"/>
  <c r="E136" i="1"/>
  <c r="E130" i="1"/>
  <c r="E129" i="1"/>
  <c r="G125" i="1"/>
  <c r="E124" i="1"/>
  <c r="E121" i="1"/>
  <c r="G117" i="1"/>
  <c r="E114" i="1"/>
  <c r="G110" i="1"/>
  <c r="G109" i="1"/>
  <c r="F74" i="1"/>
  <c r="G74" i="1"/>
  <c r="G62" i="1"/>
  <c r="E59" i="1"/>
  <c r="G51" i="1"/>
  <c r="E48" i="1"/>
  <c r="E179" i="1"/>
  <c r="F168" i="1"/>
  <c r="G168" i="1"/>
  <c r="G167" i="1"/>
  <c r="E165" i="1"/>
  <c r="G165" i="1"/>
  <c r="G163" i="1"/>
  <c r="E162" i="1"/>
  <c r="G162" i="1"/>
  <c r="E156" i="1"/>
  <c r="F154" i="1"/>
  <c r="G154" i="1"/>
  <c r="E147" i="1"/>
  <c r="G137" i="1"/>
  <c r="E134" i="1"/>
  <c r="F129" i="1"/>
  <c r="G129" i="1"/>
  <c r="G127" i="1"/>
  <c r="E127" i="1"/>
  <c r="G70" i="1"/>
  <c r="G64" i="1"/>
  <c r="G53" i="1"/>
  <c r="G38" i="1"/>
  <c r="F44" i="1"/>
  <c r="G44" i="1"/>
  <c r="G121" i="1"/>
  <c r="F183" i="1"/>
  <c r="G183" i="1"/>
  <c r="E164" i="1"/>
  <c r="E163" i="1"/>
  <c r="G135" i="1"/>
  <c r="F180" i="1"/>
  <c r="G180" i="1"/>
  <c r="F144" i="1"/>
  <c r="G144" i="1"/>
  <c r="F81" i="1"/>
  <c r="G81" i="1"/>
  <c r="F175" i="1"/>
  <c r="E175" i="1"/>
  <c r="G132" i="1"/>
  <c r="G120" i="1"/>
  <c r="E30" i="1"/>
  <c r="E41" i="1"/>
  <c r="G41" i="1"/>
  <c r="E51" i="1"/>
  <c r="E52" i="1"/>
  <c r="G52" i="1"/>
  <c r="E53" i="1"/>
  <c r="E54" i="1"/>
  <c r="G54" i="1"/>
  <c r="G55" i="1"/>
  <c r="G56" i="1"/>
  <c r="G57" i="1"/>
  <c r="G60" i="1"/>
  <c r="F65" i="1"/>
  <c r="G65" i="1"/>
  <c r="F75" i="1"/>
  <c r="G75" i="1"/>
  <c r="G76" i="1"/>
  <c r="G77" i="1"/>
  <c r="G80" i="1"/>
  <c r="F83" i="1"/>
  <c r="G83" i="1"/>
  <c r="F84" i="1"/>
  <c r="G84" i="1"/>
  <c r="G101" i="1"/>
  <c r="G114" i="1"/>
  <c r="F116" i="1"/>
  <c r="F121" i="1"/>
  <c r="G122" i="1"/>
  <c r="G146" i="1"/>
  <c r="F149" i="1"/>
  <c r="G149" i="1"/>
  <c r="G155" i="1"/>
  <c r="E157" i="1"/>
  <c r="F157" i="1"/>
  <c r="G157" i="1"/>
  <c r="F158" i="1"/>
  <c r="G158" i="1"/>
  <c r="G159" i="1"/>
  <c r="G164" i="1"/>
  <c r="G171" i="1"/>
  <c r="G175" i="1"/>
  <c r="G176" i="1"/>
  <c r="G179" i="1"/>
  <c r="G181" i="1"/>
  <c r="G128" i="1"/>
  <c r="G58" i="1"/>
  <c r="G22" i="1"/>
  <c r="G116" i="1"/>
  <c r="G34" i="1"/>
  <c r="G26" i="1"/>
  <c r="G73" i="1"/>
  <c r="G71" i="1"/>
  <c r="F186" i="1"/>
  <c r="E186" i="1"/>
  <c r="G186" i="1"/>
</calcChain>
</file>

<file path=xl/sharedStrings.xml><?xml version="1.0" encoding="utf-8"?>
<sst xmlns="http://schemas.openxmlformats.org/spreadsheetml/2006/main" count="515" uniqueCount="256">
  <si>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</si>
  <si>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</si>
  <si>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</si>
  <si>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</si>
  <si>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</si>
  <si>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</si>
  <si>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</si>
  <si>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</si>
  <si>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</si>
  <si>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</si>
  <si>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</si>
  <si>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</si>
  <si>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</si>
  <si>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</si>
  <si>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</si>
  <si>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</si>
  <si>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</si>
  <si>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</si>
  <si>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</si>
  <si>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</si>
  <si>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</si>
  <si>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</si>
  <si>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</si>
  <si>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</si>
  <si>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</si>
  <si>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</si>
  <si>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</si>
  <si>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</si>
  <si>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</si>
  <si>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</si>
  <si>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</si>
  <si>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</si>
  <si>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</si>
  <si>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</si>
  <si>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</si>
  <si>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</si>
  <si>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</si>
  <si>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</si>
  <si>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</si>
  <si>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</si>
  <si>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</si>
  <si>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</si>
  <si>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</si>
  <si>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</si>
  <si>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</si>
  <si>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</si>
  <si>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</si>
  <si>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</si>
  <si>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</si>
  <si>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</si>
  <si>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</si>
  <si>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</si>
  <si>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</si>
  <si>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</si>
  <si>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</si>
  <si>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</si>
  <si>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</si>
  <si>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</si>
  <si>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</si>
  <si>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</si>
  <si>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</si>
  <si>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</si>
  <si>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</si>
  <si>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</si>
  <si>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</si>
  <si>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</si>
  <si>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</si>
  <si>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</si>
  <si>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</si>
  <si>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</si>
  <si>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</si>
  <si>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</si>
  <si>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</si>
  <si>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</si>
  <si>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</si>
  <si>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</si>
  <si>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</si>
  <si>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</si>
  <si>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</si>
  <si>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</si>
  <si>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</si>
  <si>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</si>
  <si>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</si>
  <si>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</si>
  <si>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</si>
  <si>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</si>
  <si>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</si>
  <si>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</si>
  <si>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</si>
  <si>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</si>
  <si>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</si>
  <si>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</si>
  <si>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</si>
  <si>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</si>
  <si>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</si>
  <si>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</si>
  <si>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</si>
  <si>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</si>
  <si>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</si>
  <si>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</si>
  <si>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</si>
  <si>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</si>
  <si>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</si>
  <si>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</si>
  <si>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</si>
  <si>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</si>
  <si>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</si>
  <si>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</si>
  <si>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</si>
  <si>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</si>
  <si>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</si>
  <si>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</si>
  <si>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</si>
  <si>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</si>
  <si>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</si>
  <si>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</si>
  <si>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</si>
  <si>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</si>
  <si>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</si>
  <si>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</si>
  <si>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</si>
  <si>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</si>
  <si>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</si>
  <si>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</si>
  <si>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</si>
  <si>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</si>
  <si>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</si>
  <si>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</si>
  <si>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</si>
  <si>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</si>
  <si>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</si>
  <si>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</si>
  <si>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</si>
  <si>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</si>
  <si>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</si>
  <si>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</si>
  <si>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</si>
  <si>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</si>
  <si>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</si>
  <si>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</si>
  <si>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</si>
  <si>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</si>
  <si>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</si>
  <si>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</si>
  <si>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</si>
  <si>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</si>
  <si>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</si>
  <si>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</si>
  <si>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</si>
  <si>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</si>
  <si>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</si>
  <si>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</si>
  <si>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</si>
  <si>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</si>
  <si>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</si>
  <si>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</si>
  <si>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</si>
  <si>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</si>
  <si>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</si>
  <si>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</si>
  <si>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</si>
  <si>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</si>
  <si>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</si>
  <si>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</si>
  <si>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</si>
  <si>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</si>
  <si>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</si>
  <si>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</si>
  <si>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</si>
  <si>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</si>
  <si>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</si>
  <si>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</si>
  <si>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</si>
  <si>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</si>
  <si>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</si>
  <si>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</si>
  <si>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</si>
  <si>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</si>
  <si>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</si>
  <si>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</si>
  <si>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</si>
  <si>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</si>
  <si>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</si>
  <si>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</si>
  <si>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</si>
  <si>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</si>
  <si>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</si>
  <si>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</si>
  <si>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</si>
  <si>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</si>
  <si>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</si>
  <si>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</si>
  <si>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</si>
  <si>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</si>
  <si>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</si>
  <si>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</si>
  <si>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</si>
  <si>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</si>
  <si>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</si>
  <si>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</si>
  <si>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</si>
  <si>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</si>
  <si>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</si>
  <si>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</si>
  <si>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</si>
  <si>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</si>
  <si>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</si>
  <si>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</si>
  <si>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</si>
  <si>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</si>
  <si>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</si>
  <si>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</si>
  <si>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</si>
  <si>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</si>
  <si>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</si>
  <si>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</si>
  <si>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</si>
  <si>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</si>
  <si>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</si>
  <si>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</si>
  <si>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</si>
  <si>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</si>
  <si>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</si>
  <si>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</si>
  <si>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</si>
  <si>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</si>
  <si>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</si>
  <si>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</si>
  <si>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</si>
  <si>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</si>
  <si>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</si>
  <si>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</si>
  <si>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</si>
  <si>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</si>
  <si>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</si>
  <si>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</si>
  <si>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</si>
  <si>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</si>
  <si>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</si>
  <si>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</si>
  <si>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</si>
  <si>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</si>
  <si>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</si>
  <si>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</si>
  <si>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</si>
  <si>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</si>
  <si>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</si>
  <si>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</si>
  <si>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</si>
  <si>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 xml:space="preserve">Газоснабжение </t>
  </si>
  <si>
    <t>Итого:</t>
  </si>
  <si>
    <t>ООО "ХимМетанол", Тазовский р-н, с. Газ-Сале, ул. Мыльцева, д. 3, общежитие №10</t>
  </si>
  <si>
    <t>ООО "ХимМетанол"</t>
  </si>
  <si>
    <t>Газоснабжение части здания магазина ( кв.м), пгт. Тазовский, ул.Геофизиков, д.28 Б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</si>
  <si>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</si>
  <si>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на (за)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</si>
</sst>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4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4" fillId="0" borderId="4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4" fillId="2" borderId="7" xfId="0" applyNumberFormat="1" applyFont="1" applyFill="1" applyBorder="1" applyAlignment="1">
      <alignment vertical="center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4" fillId="2" borderId="1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/>
    </xf>
    <xf numFmtId="187" fontId="14" fillId="2" borderId="1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12" zoomScale="130" zoomScaleNormal="130" zoomScaleSheetLayoutView="130" workbookViewId="0">
      <selection activeCell="A22" sqref="A22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3.28515625" style="73" customWidth="1"/>
    <col min="6" max="6" width="14.8554687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33"/>
    </row>
    <row r="8" spans="1:6" x14ac:dyDescent="0.25">
      <c r="A8" s="93" t="s">
        <v>7</v>
      </c>
      <c r="B8" s="93"/>
      <c r="C8" s="93"/>
      <c r="D8" s="93"/>
      <c r="E8" s="93"/>
      <c r="F8" s="93"/>
    </row>
    <row r="9" spans="1:6" x14ac:dyDescent="0.25">
      <c r="A9" s="93" t="s">
        <v>8</v>
      </c>
      <c r="B9" s="93"/>
      <c r="C9" s="93"/>
      <c r="D9" s="93"/>
      <c r="E9" s="93"/>
      <c r="F9" s="93"/>
    </row>
    <row r="10" spans="1:6" x14ac:dyDescent="0.25">
      <c r="A10" s="93" t="s">
        <v>9</v>
      </c>
      <c r="B10" s="93"/>
      <c r="C10" s="93"/>
      <c r="D10" s="93"/>
      <c r="E10" s="93"/>
      <c r="F10" s="93"/>
    </row>
    <row r="11" spans="1:6" x14ac:dyDescent="0.25">
      <c r="A11" s="93" t="s">
        <v>10</v>
      </c>
      <c r="B11" s="93"/>
      <c r="C11" s="93"/>
      <c r="D11" s="93"/>
      <c r="E11" s="93"/>
      <c r="F11" s="93"/>
    </row>
    <row r="12" spans="1:6" x14ac:dyDescent="0.25">
      <c r="A12" s="93" t="s">
        <v>11</v>
      </c>
      <c r="B12" s="93"/>
      <c r="C12" s="93"/>
      <c r="D12" s="93"/>
      <c r="E12" s="93"/>
      <c r="F12" s="93"/>
    </row>
    <row r="13" spans="1:6" x14ac:dyDescent="0.25">
      <c r="A13" s="93" t="s">
        <v>12</v>
      </c>
      <c r="B13" s="93"/>
      <c r="C13" s="93"/>
      <c r="D13" s="93"/>
      <c r="E13" s="93"/>
      <c r="F13" s="93"/>
    </row>
    <row r="14" spans="1:6" x14ac:dyDescent="0.25">
      <c r="A14" s="93" t="s">
        <v>255</v>
      </c>
      <c r="B14" s="93"/>
      <c r="C14" s="93"/>
      <c r="D14" s="93"/>
      <c r="E14" s="93"/>
      <c r="F14" s="93"/>
    </row>
    <row r="15" spans="1:6" x14ac:dyDescent="0.25">
      <c r="A15" s="93" t="s">
        <v>13</v>
      </c>
      <c r="B15" s="93"/>
      <c r="C15" s="93"/>
      <c r="D15" s="93"/>
      <c r="E15" s="93"/>
      <c r="F15" s="93"/>
    </row>
    <row r="16" spans="1:6" x14ac:dyDescent="0.25">
      <c r="A16" s="93"/>
      <c r="B16" s="93"/>
      <c r="C16" s="93"/>
      <c r="D16" s="93"/>
      <c r="E16" s="93"/>
      <c r="F16" s="93"/>
    </row>
    <row r="17" spans="1:7" x14ac:dyDescent="0.25">
      <c r="A17" s="93" t="s">
        <v>1</v>
      </c>
      <c r="B17" s="93"/>
      <c r="C17" s="93"/>
      <c r="D17" s="93"/>
      <c r="E17" s="93"/>
      <c r="F17" s="93"/>
    </row>
    <row r="18" spans="1:7" x14ac:dyDescent="0.25">
      <c r="A18" s="93" t="s">
        <v>14</v>
      </c>
      <c r="B18" s="93"/>
      <c r="C18" s="93"/>
      <c r="D18" s="93"/>
      <c r="E18" s="93"/>
      <c r="F18" s="93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74" t="s">
        <v>219</v>
      </c>
      <c r="F20" s="42" t="s">
        <v>220</v>
      </c>
      <c r="G20" s="42" t="s">
        <v>221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5">
        <v>5</v>
      </c>
      <c r="F21" s="53">
        <v>6</v>
      </c>
      <c r="G21" s="49">
        <v>7</v>
      </c>
    </row>
    <row r="22" spans="1:7" ht="30" x14ac:dyDescent="0.25">
      <c r="A22" s="4" t="s">
        <v>18</v>
      </c>
      <c r="B22" s="5" t="s">
        <v>21</v>
      </c>
      <c r="C22" s="5" t="s">
        <v>134</v>
      </c>
      <c r="D22" s="64">
        <v>5</v>
      </c>
      <c r="E22" s="76">
        <f>46.853/1000</f>
        <v>4.6852999999999999E-2</v>
      </c>
      <c r="F22" s="54">
        <f>27.015/1000</f>
        <v>2.7015000000000001E-2</v>
      </c>
      <c r="G22" s="46">
        <f>E22-F22</f>
        <v>1.9837999999999998E-2</v>
      </c>
    </row>
    <row r="23" spans="1:7" ht="37.15" customHeight="1" x14ac:dyDescent="0.25">
      <c r="A23" s="4" t="s">
        <v>18</v>
      </c>
      <c r="B23" s="29" t="s">
        <v>22</v>
      </c>
      <c r="C23" s="5" t="s">
        <v>173</v>
      </c>
      <c r="D23" s="62">
        <v>5</v>
      </c>
      <c r="E23" s="76">
        <f>17.8/1000</f>
        <v>1.78E-2</v>
      </c>
      <c r="F23" s="54">
        <f>13.158/1000</f>
        <v>1.3158E-2</v>
      </c>
      <c r="G23" s="46">
        <f t="shared" ref="G23:G91" si="0">E23-F23</f>
        <v>4.6420000000000003E-3</v>
      </c>
    </row>
    <row r="24" spans="1:7" ht="30" x14ac:dyDescent="0.25">
      <c r="A24" s="4" t="s">
        <v>18</v>
      </c>
      <c r="B24" s="5" t="s">
        <v>19</v>
      </c>
      <c r="C24" s="5" t="s">
        <v>133</v>
      </c>
      <c r="D24" s="62">
        <v>3</v>
      </c>
      <c r="E24" s="76">
        <f>1315.7/1000</f>
        <v>1.3157000000000001</v>
      </c>
      <c r="F24" s="54">
        <f>1152.327/1000</f>
        <v>1.1523270000000001</v>
      </c>
      <c r="G24" s="46">
        <f t="shared" si="0"/>
        <v>0.16337299999999999</v>
      </c>
    </row>
    <row r="25" spans="1:7" ht="30" x14ac:dyDescent="0.25">
      <c r="A25" s="4" t="s">
        <v>18</v>
      </c>
      <c r="B25" s="5" t="s">
        <v>20</v>
      </c>
      <c r="C25" s="5" t="s">
        <v>134</v>
      </c>
      <c r="D25" s="62">
        <v>4</v>
      </c>
      <c r="E25" s="76">
        <f>346.125/1000</f>
        <v>0.34612500000000002</v>
      </c>
      <c r="F25" s="55">
        <f>251.739/1000</f>
        <v>0.25173899999999999</v>
      </c>
      <c r="G25" s="46">
        <f t="shared" si="0"/>
        <v>9.4386000000000025E-2</v>
      </c>
    </row>
    <row r="26" spans="1:7" ht="45" x14ac:dyDescent="0.25">
      <c r="A26" s="4" t="s">
        <v>18</v>
      </c>
      <c r="B26" s="3" t="s">
        <v>176</v>
      </c>
      <c r="C26" s="6" t="s">
        <v>135</v>
      </c>
      <c r="D26" s="7">
        <v>3</v>
      </c>
      <c r="E26" s="76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177</v>
      </c>
      <c r="C27" s="6" t="s">
        <v>135</v>
      </c>
      <c r="D27" s="7">
        <v>3</v>
      </c>
      <c r="E27" s="76">
        <f>0.123/1000</f>
        <v>1.2300000000000001E-4</v>
      </c>
      <c r="F27" s="54">
        <f>E27</f>
        <v>1.2300000000000001E-4</v>
      </c>
      <c r="G27" s="46">
        <f t="shared" si="0"/>
        <v>0</v>
      </c>
    </row>
    <row r="28" spans="1:7" ht="45" x14ac:dyDescent="0.25">
      <c r="A28" s="8" t="s">
        <v>23</v>
      </c>
      <c r="B28" s="9" t="s">
        <v>248</v>
      </c>
      <c r="C28" s="8" t="s">
        <v>136</v>
      </c>
      <c r="D28" s="62">
        <v>6</v>
      </c>
      <c r="E28" s="77">
        <f>80/1000</f>
        <v>0.08</v>
      </c>
      <c r="F28" s="55">
        <f>47.719/1000</f>
        <v>4.7719000000000004E-2</v>
      </c>
      <c r="G28" s="46">
        <f t="shared" si="0"/>
        <v>3.2280999999999997E-2</v>
      </c>
    </row>
    <row r="29" spans="1:7" ht="45" x14ac:dyDescent="0.25">
      <c r="A29" s="8" t="s">
        <v>23</v>
      </c>
      <c r="B29" s="9" t="s">
        <v>247</v>
      </c>
      <c r="C29" s="50" t="s">
        <v>137</v>
      </c>
      <c r="D29" s="62">
        <v>5</v>
      </c>
      <c r="E29" s="77">
        <f>40/1000</f>
        <v>0.04</v>
      </c>
      <c r="F29" s="55">
        <f>16.659/1000</f>
        <v>1.6659E-2</v>
      </c>
      <c r="G29" s="46">
        <f t="shared" si="0"/>
        <v>2.3341000000000001E-2</v>
      </c>
    </row>
    <row r="30" spans="1:7" ht="45" x14ac:dyDescent="0.25">
      <c r="A30" s="8" t="s">
        <v>23</v>
      </c>
      <c r="B30" s="9" t="s">
        <v>25</v>
      </c>
      <c r="C30" s="50" t="s">
        <v>137</v>
      </c>
      <c r="D30" s="62">
        <v>6</v>
      </c>
      <c r="E30" s="77">
        <f>3.6/1000</f>
        <v>3.5999999999999999E-3</v>
      </c>
      <c r="F30" s="43">
        <f>E30</f>
        <v>3.5999999999999999E-3</v>
      </c>
      <c r="G30" s="46">
        <f t="shared" si="0"/>
        <v>0</v>
      </c>
    </row>
    <row r="31" spans="1:7" ht="30" x14ac:dyDescent="0.25">
      <c r="A31" s="8" t="s">
        <v>26</v>
      </c>
      <c r="B31" s="5" t="s">
        <v>27</v>
      </c>
      <c r="C31" s="51" t="s">
        <v>174</v>
      </c>
      <c r="D31" s="62">
        <v>5</v>
      </c>
      <c r="E31" s="77">
        <f>102/1000</f>
        <v>0.10199999999999999</v>
      </c>
      <c r="F31" s="55">
        <f>24.688/1000</f>
        <v>2.4687999999999998E-2</v>
      </c>
      <c r="G31" s="46">
        <f t="shared" si="0"/>
        <v>7.7311999999999992E-2</v>
      </c>
    </row>
    <row r="32" spans="1:7" ht="30" x14ac:dyDescent="0.25">
      <c r="A32" s="8" t="s">
        <v>26</v>
      </c>
      <c r="B32" s="5" t="s">
        <v>24</v>
      </c>
      <c r="C32" s="51" t="s">
        <v>138</v>
      </c>
      <c r="D32" s="62">
        <v>5</v>
      </c>
      <c r="E32" s="78">
        <f>120/1000</f>
        <v>0.12</v>
      </c>
      <c r="F32" s="55">
        <f>92.5/1000</f>
        <v>9.2499999999999999E-2</v>
      </c>
      <c r="G32" s="46">
        <f t="shared" si="0"/>
        <v>2.7499999999999997E-2</v>
      </c>
    </row>
    <row r="33" spans="1:7" ht="45" x14ac:dyDescent="0.25">
      <c r="A33" s="8" t="s">
        <v>26</v>
      </c>
      <c r="B33" s="3" t="s">
        <v>178</v>
      </c>
      <c r="C33" s="10" t="s">
        <v>135</v>
      </c>
      <c r="D33" s="11">
        <v>3</v>
      </c>
      <c r="E33" s="79">
        <f>2.417/1000</f>
        <v>2.4169999999999999E-3</v>
      </c>
      <c r="F33" s="43">
        <f>E33</f>
        <v>2.4169999999999999E-3</v>
      </c>
      <c r="G33" s="46">
        <f t="shared" si="0"/>
        <v>0</v>
      </c>
    </row>
    <row r="34" spans="1:7" ht="60" x14ac:dyDescent="0.25">
      <c r="A34" s="8" t="s">
        <v>26</v>
      </c>
      <c r="B34" s="3" t="s">
        <v>179</v>
      </c>
      <c r="C34" s="10" t="s">
        <v>135</v>
      </c>
      <c r="D34" s="11">
        <v>3</v>
      </c>
      <c r="E34" s="79">
        <f>0.859/1000</f>
        <v>8.5899999999999995E-4</v>
      </c>
      <c r="F34" s="43">
        <f>E34</f>
        <v>8.5899999999999995E-4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135</v>
      </c>
      <c r="D35" s="11">
        <v>3</v>
      </c>
      <c r="E35" s="79">
        <f>1/1000</f>
        <v>1E-3</v>
      </c>
      <c r="F35" s="43">
        <f>E35</f>
        <v>1E-3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139</v>
      </c>
      <c r="D36" s="62">
        <v>3</v>
      </c>
      <c r="E36" s="78">
        <f>1922/1000</f>
        <v>1.9219999999999999</v>
      </c>
      <c r="F36" s="55">
        <f>1054.632/1000</f>
        <v>1.054632</v>
      </c>
      <c r="G36" s="46">
        <f t="shared" si="0"/>
        <v>0.86736799999999992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78">
        <f>936/1000</f>
        <v>0.93600000000000005</v>
      </c>
      <c r="F37" s="55">
        <f>1077.979/1000</f>
        <v>1.077979</v>
      </c>
      <c r="G37" s="46">
        <f t="shared" si="0"/>
        <v>-0.14197899999999997</v>
      </c>
    </row>
    <row r="38" spans="1:7" ht="30.75" customHeight="1" x14ac:dyDescent="0.25">
      <c r="A38" s="4" t="s">
        <v>32</v>
      </c>
      <c r="B38" s="13" t="s">
        <v>33</v>
      </c>
      <c r="C38" s="4" t="s">
        <v>140</v>
      </c>
      <c r="D38" s="62">
        <v>4</v>
      </c>
      <c r="E38" s="78">
        <f>831.556/1000</f>
        <v>0.83155600000000007</v>
      </c>
      <c r="F38" s="55">
        <f>636.695/1000</f>
        <v>0.63669500000000001</v>
      </c>
      <c r="G38" s="46">
        <f t="shared" si="0"/>
        <v>0.19486100000000006</v>
      </c>
    </row>
    <row r="39" spans="1:7" x14ac:dyDescent="0.25">
      <c r="A39" s="4" t="s">
        <v>32</v>
      </c>
      <c r="B39" s="3" t="s">
        <v>34</v>
      </c>
      <c r="C39" s="4" t="s">
        <v>140</v>
      </c>
      <c r="D39" s="62">
        <v>4</v>
      </c>
      <c r="E39" s="78">
        <f>553.864/1000</f>
        <v>0.55386400000000002</v>
      </c>
      <c r="F39" s="55">
        <f>380.465/1000</f>
        <v>0.380465</v>
      </c>
      <c r="G39" s="46">
        <f t="shared" si="0"/>
        <v>0.17339900000000003</v>
      </c>
    </row>
    <row r="40" spans="1:7" ht="31.15" customHeight="1" x14ac:dyDescent="0.25">
      <c r="A40" s="4" t="s">
        <v>32</v>
      </c>
      <c r="B40" s="1" t="s">
        <v>35</v>
      </c>
      <c r="C40" s="10" t="s">
        <v>175</v>
      </c>
      <c r="D40" s="62">
        <v>4</v>
      </c>
      <c r="E40" s="72">
        <f>110/1000</f>
        <v>0.11</v>
      </c>
      <c r="F40" s="55">
        <f>30.95/1000</f>
        <v>3.0949999999999998E-2</v>
      </c>
      <c r="G40" s="46">
        <f t="shared" si="0"/>
        <v>7.9050000000000009E-2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80">
        <f>20/1000</f>
        <v>0.02</v>
      </c>
      <c r="F41" s="43">
        <f>15.008/1000</f>
        <v>1.5007999999999999E-2</v>
      </c>
      <c r="G41" s="46">
        <f t="shared" si="0"/>
        <v>4.9920000000000016E-3</v>
      </c>
    </row>
    <row r="42" spans="1:7" ht="45" x14ac:dyDescent="0.25">
      <c r="A42" s="4" t="s">
        <v>32</v>
      </c>
      <c r="B42" s="3" t="s">
        <v>180</v>
      </c>
      <c r="C42" s="10" t="s">
        <v>135</v>
      </c>
      <c r="D42" s="7">
        <v>3</v>
      </c>
      <c r="E42" s="79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181</v>
      </c>
      <c r="C43" s="10" t="s">
        <v>135</v>
      </c>
      <c r="D43" s="7">
        <v>3</v>
      </c>
      <c r="E43" s="78">
        <f>1.38/1000</f>
        <v>1.3799999999999999E-3</v>
      </c>
      <c r="F43" s="55">
        <f>E43</f>
        <v>1.3799999999999999E-3</v>
      </c>
      <c r="G43" s="46">
        <f>E43-F43</f>
        <v>0</v>
      </c>
    </row>
    <row r="44" spans="1:7" ht="45" x14ac:dyDescent="0.25">
      <c r="A44" s="4" t="s">
        <v>32</v>
      </c>
      <c r="B44" s="3" t="s">
        <v>182</v>
      </c>
      <c r="C44" s="10" t="s">
        <v>135</v>
      </c>
      <c r="D44" s="7">
        <v>3</v>
      </c>
      <c r="E44" s="78">
        <f>0.435/1000</f>
        <v>4.35E-4</v>
      </c>
      <c r="F44" s="55">
        <f>E44</f>
        <v>4.35E-4</v>
      </c>
      <c r="G44" s="46">
        <f t="shared" si="0"/>
        <v>0</v>
      </c>
    </row>
    <row r="45" spans="1:7" ht="60" x14ac:dyDescent="0.25">
      <c r="A45" s="4" t="s">
        <v>32</v>
      </c>
      <c r="B45" s="5" t="s">
        <v>224</v>
      </c>
      <c r="C45" s="10" t="s">
        <v>225</v>
      </c>
      <c r="D45" s="7">
        <v>4</v>
      </c>
      <c r="E45" s="79">
        <f>11/1000</f>
        <v>1.0999999999999999E-2</v>
      </c>
      <c r="F45" s="55">
        <f>7.551/1000</f>
        <v>7.5510000000000004E-3</v>
      </c>
      <c r="G45" s="46">
        <f t="shared" si="0"/>
        <v>3.4489999999999989E-3</v>
      </c>
    </row>
    <row r="46" spans="1:7" ht="30" x14ac:dyDescent="0.25">
      <c r="A46" s="4" t="s">
        <v>32</v>
      </c>
      <c r="B46" s="3" t="s">
        <v>38</v>
      </c>
      <c r="C46" s="10" t="s">
        <v>141</v>
      </c>
      <c r="D46" s="7">
        <v>6</v>
      </c>
      <c r="E46" s="81">
        <f>8.2/1000</f>
        <v>8.199999999999999E-3</v>
      </c>
      <c r="F46" s="55">
        <f>2.751/1000</f>
        <v>2.751E-3</v>
      </c>
      <c r="G46" s="46">
        <f t="shared" si="0"/>
        <v>5.448999999999999E-3</v>
      </c>
    </row>
    <row r="47" spans="1:7" ht="45" x14ac:dyDescent="0.25">
      <c r="A47" s="4" t="s">
        <v>32</v>
      </c>
      <c r="B47" s="5" t="s">
        <v>228</v>
      </c>
      <c r="C47" s="14" t="s">
        <v>227</v>
      </c>
      <c r="D47" s="7">
        <v>6</v>
      </c>
      <c r="E47" s="78">
        <f>1.3/1000</f>
        <v>1.2999999999999999E-3</v>
      </c>
      <c r="F47" s="55">
        <f>2.639/1000</f>
        <v>2.6389999999999999E-3</v>
      </c>
      <c r="G47" s="46">
        <f t="shared" si="0"/>
        <v>-1.3389999999999999E-3</v>
      </c>
    </row>
    <row r="48" spans="1:7" ht="45" x14ac:dyDescent="0.25">
      <c r="A48" s="4" t="s">
        <v>32</v>
      </c>
      <c r="B48" s="5" t="s">
        <v>229</v>
      </c>
      <c r="C48" s="10" t="s">
        <v>175</v>
      </c>
      <c r="D48" s="62">
        <v>6</v>
      </c>
      <c r="E48" s="78">
        <f>4/1000</f>
        <v>4.0000000000000001E-3</v>
      </c>
      <c r="F48" s="43">
        <f>9.682/1000</f>
        <v>9.6819999999999996E-3</v>
      </c>
      <c r="G48" s="46">
        <f t="shared" si="0"/>
        <v>-5.6819999999999996E-3</v>
      </c>
    </row>
    <row r="49" spans="1:7" ht="30" x14ac:dyDescent="0.25">
      <c r="A49" s="4" t="s">
        <v>32</v>
      </c>
      <c r="B49" s="5" t="s">
        <v>37</v>
      </c>
      <c r="C49" s="5" t="s">
        <v>142</v>
      </c>
      <c r="D49" s="62">
        <v>7</v>
      </c>
      <c r="E49" s="82">
        <f>1.2/1000</f>
        <v>1.1999999999999999E-3</v>
      </c>
      <c r="F49" s="55">
        <f>0.971/1000</f>
        <v>9.7099999999999997E-4</v>
      </c>
      <c r="G49" s="46">
        <f t="shared" si="0"/>
        <v>2.2899999999999993E-4</v>
      </c>
    </row>
    <row r="50" spans="1:7" ht="45" x14ac:dyDescent="0.25">
      <c r="A50" s="4" t="s">
        <v>32</v>
      </c>
      <c r="B50" s="5" t="s">
        <v>223</v>
      </c>
      <c r="C50" s="10" t="s">
        <v>175</v>
      </c>
      <c r="D50" s="62">
        <v>6</v>
      </c>
      <c r="E50" s="78">
        <f>2.4/1000</f>
        <v>2.3999999999999998E-3</v>
      </c>
      <c r="F50" s="55">
        <f>E50</f>
        <v>2.3999999999999998E-3</v>
      </c>
      <c r="G50" s="46">
        <f t="shared" si="0"/>
        <v>0</v>
      </c>
    </row>
    <row r="51" spans="1:7" ht="45" x14ac:dyDescent="0.25">
      <c r="A51" s="4" t="s">
        <v>32</v>
      </c>
      <c r="B51" s="5" t="s">
        <v>226</v>
      </c>
      <c r="C51" s="5" t="s">
        <v>143</v>
      </c>
      <c r="D51" s="62">
        <v>7</v>
      </c>
      <c r="E51" s="79">
        <f>0.066/1000</f>
        <v>6.6000000000000005E-5</v>
      </c>
      <c r="F51" s="43">
        <f>0.203/1000</f>
        <v>2.03E-4</v>
      </c>
      <c r="G51" s="46">
        <f t="shared" si="0"/>
        <v>-1.37E-4</v>
      </c>
    </row>
    <row r="52" spans="1:7" ht="30" x14ac:dyDescent="0.25">
      <c r="A52" s="4" t="s">
        <v>32</v>
      </c>
      <c r="B52" s="5" t="s">
        <v>183</v>
      </c>
      <c r="C52" s="5" t="s">
        <v>143</v>
      </c>
      <c r="D52" s="62">
        <v>7</v>
      </c>
      <c r="E52" s="79">
        <f>0.133/1000</f>
        <v>1.3300000000000001E-4</v>
      </c>
      <c r="F52" s="43">
        <v>0</v>
      </c>
      <c r="G52" s="4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143</v>
      </c>
      <c r="D53" s="62">
        <v>7</v>
      </c>
      <c r="E53" s="79">
        <f>0.133/1000</f>
        <v>1.3300000000000001E-4</v>
      </c>
      <c r="F53" s="43">
        <v>0</v>
      </c>
      <c r="G53" s="46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0" t="s">
        <v>144</v>
      </c>
      <c r="D54" s="62">
        <v>7</v>
      </c>
      <c r="E54" s="78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184</v>
      </c>
      <c r="C55" s="15" t="s">
        <v>185</v>
      </c>
      <c r="D55" s="65">
        <v>7</v>
      </c>
      <c r="E55" s="83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186</v>
      </c>
      <c r="C56" s="15" t="s">
        <v>185</v>
      </c>
      <c r="D56" s="65">
        <v>7</v>
      </c>
      <c r="E56" s="78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185</v>
      </c>
      <c r="D57" s="65">
        <v>7</v>
      </c>
      <c r="E57" s="83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244</v>
      </c>
      <c r="C58" s="15" t="s">
        <v>175</v>
      </c>
      <c r="D58" s="65">
        <v>6</v>
      </c>
      <c r="E58" s="83">
        <f>3.2/1000</f>
        <v>3.2000000000000002E-3</v>
      </c>
      <c r="F58" s="57">
        <f>1.583/1000</f>
        <v>1.583E-3</v>
      </c>
      <c r="G58" s="47">
        <f>E58-F58</f>
        <v>1.6170000000000002E-3</v>
      </c>
    </row>
    <row r="59" spans="1:7" ht="38.25" customHeight="1" x14ac:dyDescent="0.25">
      <c r="A59" s="2" t="s">
        <v>32</v>
      </c>
      <c r="B59" s="15" t="s">
        <v>245</v>
      </c>
      <c r="C59" s="15" t="s">
        <v>175</v>
      </c>
      <c r="D59" s="65">
        <v>6</v>
      </c>
      <c r="E59" s="83">
        <f>1/1000</f>
        <v>1E-3</v>
      </c>
      <c r="F59" s="57">
        <v>0</v>
      </c>
      <c r="G59" s="47">
        <f>E59-F59</f>
        <v>1E-3</v>
      </c>
    </row>
    <row r="60" spans="1:7" ht="45" x14ac:dyDescent="0.25">
      <c r="A60" s="2" t="s">
        <v>32</v>
      </c>
      <c r="B60" s="15" t="s">
        <v>187</v>
      </c>
      <c r="C60" s="15" t="s">
        <v>185</v>
      </c>
      <c r="D60" s="65">
        <v>7</v>
      </c>
      <c r="E60" s="83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251</v>
      </c>
      <c r="C61" s="15" t="s">
        <v>252</v>
      </c>
      <c r="D61" s="65">
        <v>7</v>
      </c>
      <c r="E61" s="83">
        <f>3.3/1000</f>
        <v>3.3E-3</v>
      </c>
      <c r="F61" s="57">
        <f>0.014/1000</f>
        <v>1.4E-5</v>
      </c>
      <c r="G61" s="47">
        <f>E61-F61</f>
        <v>3.2859999999999999E-3</v>
      </c>
    </row>
    <row r="62" spans="1:7" ht="44.25" customHeight="1" x14ac:dyDescent="0.25">
      <c r="A62" s="2" t="s">
        <v>32</v>
      </c>
      <c r="B62" s="15" t="s">
        <v>234</v>
      </c>
      <c r="C62" s="15" t="s">
        <v>235</v>
      </c>
      <c r="D62" s="65">
        <v>4</v>
      </c>
      <c r="E62" s="78">
        <f>37/1000</f>
        <v>3.6999999999999998E-2</v>
      </c>
      <c r="F62" s="55">
        <f>37/1000</f>
        <v>3.6999999999999998E-2</v>
      </c>
      <c r="G62" s="47">
        <f>E62-F62</f>
        <v>0</v>
      </c>
    </row>
    <row r="63" spans="1:7" x14ac:dyDescent="0.25">
      <c r="A63" s="4" t="s">
        <v>238</v>
      </c>
      <c r="B63" s="13" t="s">
        <v>43</v>
      </c>
      <c r="C63" s="16" t="s">
        <v>145</v>
      </c>
      <c r="D63" s="62">
        <v>4</v>
      </c>
      <c r="E63" s="84">
        <f>550/1000</f>
        <v>0.55000000000000004</v>
      </c>
      <c r="F63" s="58">
        <f>420.252/1000</f>
        <v>0.42025200000000001</v>
      </c>
      <c r="G63" s="46">
        <f t="shared" si="0"/>
        <v>0.12974800000000003</v>
      </c>
    </row>
    <row r="64" spans="1:7" x14ac:dyDescent="0.25">
      <c r="A64" s="4" t="s">
        <v>238</v>
      </c>
      <c r="B64" s="3" t="s">
        <v>42</v>
      </c>
      <c r="C64" s="16" t="s">
        <v>145</v>
      </c>
      <c r="D64" s="62">
        <v>4</v>
      </c>
      <c r="E64" s="84">
        <f>1000/1000</f>
        <v>1</v>
      </c>
      <c r="F64" s="58">
        <f>639.466/1000</f>
        <v>0.63946599999999998</v>
      </c>
      <c r="G64" s="46">
        <f t="shared" si="0"/>
        <v>0.36053400000000002</v>
      </c>
    </row>
    <row r="65" spans="1:7" ht="45" x14ac:dyDescent="0.25">
      <c r="A65" s="4" t="s">
        <v>238</v>
      </c>
      <c r="B65" s="3" t="s">
        <v>188</v>
      </c>
      <c r="C65" s="10" t="s">
        <v>135</v>
      </c>
      <c r="D65" s="11">
        <v>3</v>
      </c>
      <c r="E65" s="79">
        <f>118.767/1000</f>
        <v>0.118767</v>
      </c>
      <c r="F65" s="43">
        <f>E65</f>
        <v>0.118767</v>
      </c>
      <c r="G65" s="46">
        <f t="shared" si="0"/>
        <v>0</v>
      </c>
    </row>
    <row r="66" spans="1:7" ht="60" x14ac:dyDescent="0.25">
      <c r="A66" s="4" t="s">
        <v>238</v>
      </c>
      <c r="B66" s="3" t="s">
        <v>189</v>
      </c>
      <c r="C66" s="10" t="s">
        <v>135</v>
      </c>
      <c r="D66" s="11">
        <v>3</v>
      </c>
      <c r="E66" s="79">
        <f>5.9/1000</f>
        <v>5.9000000000000007E-3</v>
      </c>
      <c r="F66" s="43">
        <f>E66</f>
        <v>5.9000000000000007E-3</v>
      </c>
      <c r="G66" s="46">
        <f>E66-F66</f>
        <v>0</v>
      </c>
    </row>
    <row r="67" spans="1:7" ht="60" x14ac:dyDescent="0.25">
      <c r="A67" s="4" t="s">
        <v>238</v>
      </c>
      <c r="B67" s="3" t="s">
        <v>190</v>
      </c>
      <c r="C67" s="10" t="s">
        <v>135</v>
      </c>
      <c r="D67" s="11">
        <v>3</v>
      </c>
      <c r="E67" s="78">
        <f>0.136/1000</f>
        <v>1.36E-4</v>
      </c>
      <c r="F67" s="55">
        <f>E67</f>
        <v>1.36E-4</v>
      </c>
      <c r="G67" s="46">
        <f t="shared" si="0"/>
        <v>0</v>
      </c>
    </row>
    <row r="68" spans="1:7" ht="45" x14ac:dyDescent="0.25">
      <c r="A68" s="4" t="s">
        <v>238</v>
      </c>
      <c r="B68" s="5" t="s">
        <v>44</v>
      </c>
      <c r="C68" s="5" t="s">
        <v>146</v>
      </c>
      <c r="D68" s="62">
        <v>6</v>
      </c>
      <c r="E68" s="82">
        <f>3/1000</f>
        <v>3.0000000000000001E-3</v>
      </c>
      <c r="F68" s="58">
        <f>0.769/1000</f>
        <v>7.6900000000000004E-4</v>
      </c>
      <c r="G68" s="46">
        <f t="shared" si="0"/>
        <v>2.2309999999999999E-3</v>
      </c>
    </row>
    <row r="69" spans="1:7" ht="30" x14ac:dyDescent="0.25">
      <c r="A69" s="4" t="s">
        <v>238</v>
      </c>
      <c r="B69" s="5" t="s">
        <v>191</v>
      </c>
      <c r="C69" s="17" t="s">
        <v>192</v>
      </c>
      <c r="D69" s="62">
        <v>4</v>
      </c>
      <c r="E69" s="85">
        <f>130/1000</f>
        <v>0.13</v>
      </c>
      <c r="F69" s="55">
        <f>71.216/1000</f>
        <v>7.1215999999999988E-2</v>
      </c>
      <c r="G69" s="46">
        <f t="shared" si="0"/>
        <v>5.8784000000000017E-2</v>
      </c>
    </row>
    <row r="70" spans="1:7" ht="33" customHeight="1" x14ac:dyDescent="0.25">
      <c r="A70" s="16" t="s">
        <v>45</v>
      </c>
      <c r="B70" s="18" t="s">
        <v>48</v>
      </c>
      <c r="C70" s="10" t="s">
        <v>147</v>
      </c>
      <c r="D70" s="66">
        <v>5</v>
      </c>
      <c r="E70" s="79">
        <f>35/1000</f>
        <v>3.5000000000000003E-2</v>
      </c>
      <c r="F70" s="55">
        <f>24.796/1000</f>
        <v>2.4795999999999999E-2</v>
      </c>
      <c r="G70" s="46">
        <f t="shared" si="0"/>
        <v>1.0204000000000005E-2</v>
      </c>
    </row>
    <row r="71" spans="1:7" ht="30" x14ac:dyDescent="0.25">
      <c r="A71" s="16" t="s">
        <v>45</v>
      </c>
      <c r="B71" s="18" t="s">
        <v>49</v>
      </c>
      <c r="C71" s="10" t="s">
        <v>147</v>
      </c>
      <c r="D71" s="66">
        <v>5</v>
      </c>
      <c r="E71" s="79">
        <f>30/1000</f>
        <v>0.03</v>
      </c>
      <c r="F71" s="55">
        <f>13.303/1000</f>
        <v>1.3303000000000001E-2</v>
      </c>
      <c r="G71" s="46">
        <f t="shared" si="0"/>
        <v>1.6696999999999997E-2</v>
      </c>
    </row>
    <row r="72" spans="1:7" ht="30" x14ac:dyDescent="0.25">
      <c r="A72" s="16" t="s">
        <v>45</v>
      </c>
      <c r="B72" s="18" t="s">
        <v>47</v>
      </c>
      <c r="C72" s="10" t="s">
        <v>147</v>
      </c>
      <c r="D72" s="66">
        <v>5</v>
      </c>
      <c r="E72" s="79">
        <f>30/1000</f>
        <v>0.03</v>
      </c>
      <c r="F72" s="43">
        <f>25.658/1000</f>
        <v>2.5658E-2</v>
      </c>
      <c r="G72" s="46">
        <f t="shared" si="0"/>
        <v>4.3419999999999986E-3</v>
      </c>
    </row>
    <row r="73" spans="1:7" ht="30" x14ac:dyDescent="0.25">
      <c r="A73" s="16" t="s">
        <v>45</v>
      </c>
      <c r="B73" s="18" t="s">
        <v>46</v>
      </c>
      <c r="C73" s="10" t="s">
        <v>147</v>
      </c>
      <c r="D73" s="66">
        <v>4</v>
      </c>
      <c r="E73" s="78">
        <f>500/1000</f>
        <v>0.5</v>
      </c>
      <c r="F73" s="55">
        <f>349.041/1000</f>
        <v>0.34904099999999999</v>
      </c>
      <c r="G73" s="46">
        <f t="shared" si="0"/>
        <v>0.15095900000000001</v>
      </c>
    </row>
    <row r="74" spans="1:7" ht="45" x14ac:dyDescent="0.25">
      <c r="A74" s="16" t="s">
        <v>45</v>
      </c>
      <c r="B74" s="3" t="s">
        <v>193</v>
      </c>
      <c r="C74" s="19" t="s">
        <v>135</v>
      </c>
      <c r="D74" s="11">
        <v>3</v>
      </c>
      <c r="E74" s="79">
        <f>0.425/1000</f>
        <v>4.2499999999999998E-4</v>
      </c>
      <c r="F74" s="43">
        <f>E74</f>
        <v>4.2499999999999998E-4</v>
      </c>
      <c r="G74" s="46">
        <f t="shared" si="0"/>
        <v>0</v>
      </c>
    </row>
    <row r="75" spans="1:7" ht="45" x14ac:dyDescent="0.25">
      <c r="A75" s="16" t="s">
        <v>45</v>
      </c>
      <c r="B75" s="3" t="s">
        <v>194</v>
      </c>
      <c r="C75" s="19" t="s">
        <v>135</v>
      </c>
      <c r="D75" s="11">
        <v>3</v>
      </c>
      <c r="E75" s="79">
        <f>1/1000</f>
        <v>1E-3</v>
      </c>
      <c r="F75" s="43">
        <f>E75</f>
        <v>1E-3</v>
      </c>
      <c r="G75" s="46">
        <f t="shared" si="0"/>
        <v>0</v>
      </c>
    </row>
    <row r="76" spans="1:7" ht="45" x14ac:dyDescent="0.25">
      <c r="A76" s="16" t="s">
        <v>45</v>
      </c>
      <c r="B76" s="3" t="s">
        <v>195</v>
      </c>
      <c r="C76" s="19" t="s">
        <v>135</v>
      </c>
      <c r="D76" s="11">
        <v>3</v>
      </c>
      <c r="E76" s="79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79">
        <f>12/1000</f>
        <v>1.2E-2</v>
      </c>
      <c r="F77" s="43">
        <f>10.734/1000</f>
        <v>1.0734E-2</v>
      </c>
      <c r="G77" s="46">
        <f t="shared" si="0"/>
        <v>1.2659999999999998E-3</v>
      </c>
    </row>
    <row r="78" spans="1:7" ht="28.15" customHeight="1" x14ac:dyDescent="0.25">
      <c r="A78" s="10" t="s">
        <v>51</v>
      </c>
      <c r="B78" s="3" t="s">
        <v>52</v>
      </c>
      <c r="C78" s="10" t="s">
        <v>148</v>
      </c>
      <c r="D78" s="62">
        <v>4</v>
      </c>
      <c r="E78" s="86">
        <f>456.996/1000</f>
        <v>0.45699599999999996</v>
      </c>
      <c r="F78" s="55">
        <f>402.502/1000</f>
        <v>0.40250200000000003</v>
      </c>
      <c r="G78" s="46">
        <f t="shared" si="0"/>
        <v>5.4493999999999931E-2</v>
      </c>
    </row>
    <row r="79" spans="1:7" ht="43.5" customHeight="1" x14ac:dyDescent="0.25">
      <c r="A79" s="10" t="s">
        <v>51</v>
      </c>
      <c r="B79" s="3" t="s">
        <v>53</v>
      </c>
      <c r="C79" s="10" t="s">
        <v>148</v>
      </c>
      <c r="D79" s="62">
        <v>4</v>
      </c>
      <c r="E79" s="87">
        <f>267.525/1000</f>
        <v>0.26752499999999996</v>
      </c>
      <c r="F79" s="55">
        <f>176.687/1000</f>
        <v>0.17668700000000001</v>
      </c>
      <c r="G79" s="46">
        <f t="shared" si="0"/>
        <v>9.0837999999999947E-2</v>
      </c>
    </row>
    <row r="80" spans="1:7" ht="60" x14ac:dyDescent="0.25">
      <c r="A80" s="10" t="s">
        <v>51</v>
      </c>
      <c r="B80" s="3" t="s">
        <v>196</v>
      </c>
      <c r="C80" s="10" t="s">
        <v>135</v>
      </c>
      <c r="D80" s="11">
        <v>3</v>
      </c>
      <c r="E80" s="79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197</v>
      </c>
      <c r="C81" s="10" t="s">
        <v>135</v>
      </c>
      <c r="D81" s="11">
        <v>3</v>
      </c>
      <c r="E81" s="79">
        <f>0.387/1000</f>
        <v>3.8700000000000003E-4</v>
      </c>
      <c r="F81" s="43">
        <f>E81</f>
        <v>3.8700000000000003E-4</v>
      </c>
      <c r="G81" s="46">
        <f t="shared" si="0"/>
        <v>0</v>
      </c>
    </row>
    <row r="82" spans="1:7" ht="45" x14ac:dyDescent="0.25">
      <c r="A82" s="10" t="s">
        <v>54</v>
      </c>
      <c r="B82" s="3" t="s">
        <v>55</v>
      </c>
      <c r="C82" s="10" t="s">
        <v>148</v>
      </c>
      <c r="D82" s="62">
        <v>5</v>
      </c>
      <c r="E82" s="81">
        <f>60/1000</f>
        <v>0.06</v>
      </c>
      <c r="F82" s="43">
        <f>53/1000</f>
        <v>5.2999999999999999E-2</v>
      </c>
      <c r="G82" s="46">
        <f t="shared" si="0"/>
        <v>6.9999999999999993E-3</v>
      </c>
    </row>
    <row r="83" spans="1:7" ht="45" x14ac:dyDescent="0.25">
      <c r="A83" s="10" t="s">
        <v>54</v>
      </c>
      <c r="B83" s="3" t="s">
        <v>56</v>
      </c>
      <c r="C83" s="19" t="s">
        <v>135</v>
      </c>
      <c r="D83" s="11">
        <v>3</v>
      </c>
      <c r="E83" s="79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172</v>
      </c>
      <c r="C84" s="19" t="s">
        <v>135</v>
      </c>
      <c r="D84" s="11">
        <v>3</v>
      </c>
      <c r="E84" s="79">
        <f>0.533/1000</f>
        <v>5.3300000000000005E-4</v>
      </c>
      <c r="F84" s="43">
        <f>E84</f>
        <v>5.3300000000000005E-4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81">
        <f>10/1000</f>
        <v>0.01</v>
      </c>
      <c r="F85" s="59">
        <f>9.921/1000</f>
        <v>9.9209999999999993E-3</v>
      </c>
      <c r="G85" s="46">
        <f t="shared" si="0"/>
        <v>7.9000000000000944E-5</v>
      </c>
    </row>
    <row r="86" spans="1:7" ht="60" x14ac:dyDescent="0.25">
      <c r="A86" s="12" t="s">
        <v>57</v>
      </c>
      <c r="B86" s="3" t="s">
        <v>58</v>
      </c>
      <c r="C86" s="10" t="s">
        <v>135</v>
      </c>
      <c r="D86" s="11">
        <v>3</v>
      </c>
      <c r="E86" s="79">
        <f>1/1000</f>
        <v>1E-3</v>
      </c>
      <c r="F86" s="43">
        <f>E86</f>
        <v>1E-3</v>
      </c>
      <c r="G86" s="46">
        <f t="shared" si="0"/>
        <v>0</v>
      </c>
    </row>
    <row r="87" spans="1:7" ht="30" x14ac:dyDescent="0.25">
      <c r="A87" s="12" t="s">
        <v>57</v>
      </c>
      <c r="B87" s="5" t="s">
        <v>243</v>
      </c>
      <c r="C87" s="10" t="s">
        <v>135</v>
      </c>
      <c r="D87" s="11">
        <v>3</v>
      </c>
      <c r="E87" s="79">
        <f>103/1000</f>
        <v>0.10299999999999999</v>
      </c>
      <c r="F87" s="59">
        <f>95.38/1000</f>
        <v>9.5379999999999993E-2</v>
      </c>
      <c r="G87" s="46">
        <f>E87-F87</f>
        <v>7.6200000000000018E-3</v>
      </c>
    </row>
    <row r="88" spans="1:7" ht="30" x14ac:dyDescent="0.25">
      <c r="A88" s="10" t="s">
        <v>59</v>
      </c>
      <c r="B88" s="1" t="s">
        <v>60</v>
      </c>
      <c r="C88" s="10" t="s">
        <v>149</v>
      </c>
      <c r="D88" s="11">
        <v>4</v>
      </c>
      <c r="E88" s="82">
        <v>0</v>
      </c>
      <c r="F88" s="55">
        <f>143.071/1000</f>
        <v>0.143071</v>
      </c>
      <c r="G88" s="46">
        <f>E88-F88</f>
        <v>-0.143071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72">
        <f>12.5/1000</f>
        <v>1.2500000000000001E-2</v>
      </c>
      <c r="F89" s="55">
        <f>9.053/1000</f>
        <v>9.0530000000000003E-3</v>
      </c>
      <c r="G89" s="46">
        <f t="shared" si="0"/>
        <v>3.4470000000000004E-3</v>
      </c>
    </row>
    <row r="90" spans="1:7" ht="30" x14ac:dyDescent="0.25">
      <c r="A90" s="10" t="s">
        <v>61</v>
      </c>
      <c r="B90" s="1" t="s">
        <v>60</v>
      </c>
      <c r="C90" s="10" t="s">
        <v>149</v>
      </c>
      <c r="D90" s="11">
        <v>5</v>
      </c>
      <c r="E90" s="72">
        <v>0</v>
      </c>
      <c r="F90" s="59">
        <f>21.123/1000</f>
        <v>2.1122999999999999E-2</v>
      </c>
      <c r="G90" s="46">
        <f t="shared" si="0"/>
        <v>-2.1122999999999999E-2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72">
        <f>17/1000</f>
        <v>1.7000000000000001E-2</v>
      </c>
      <c r="F91" s="55">
        <f>15/1000</f>
        <v>1.4999999999999999E-2</v>
      </c>
      <c r="G91" s="46">
        <f t="shared" si="0"/>
        <v>2.0000000000000018E-3</v>
      </c>
    </row>
    <row r="92" spans="1:7" ht="30" x14ac:dyDescent="0.25">
      <c r="A92" s="10" t="s">
        <v>62</v>
      </c>
      <c r="B92" s="1" t="s">
        <v>60</v>
      </c>
      <c r="C92" s="10" t="s">
        <v>149</v>
      </c>
      <c r="D92" s="11">
        <v>5</v>
      </c>
      <c r="E92" s="72">
        <v>0</v>
      </c>
      <c r="F92" s="55">
        <v>0</v>
      </c>
      <c r="G92" s="46">
        <f t="shared" ref="G92:G103" si="1">E92-F92</f>
        <v>0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72">
        <f>7.5/1000</f>
        <v>7.4999999999999997E-3</v>
      </c>
      <c r="F93" s="55">
        <f>3/1000</f>
        <v>3.0000000000000001E-3</v>
      </c>
      <c r="G93" s="46">
        <f t="shared" si="1"/>
        <v>4.4999999999999997E-3</v>
      </c>
    </row>
    <row r="94" spans="1:7" ht="42.75" customHeight="1" x14ac:dyDescent="0.25">
      <c r="A94" s="4" t="s">
        <v>63</v>
      </c>
      <c r="B94" s="5" t="s">
        <v>64</v>
      </c>
      <c r="C94" s="6" t="s">
        <v>150</v>
      </c>
      <c r="D94" s="62">
        <v>4</v>
      </c>
      <c r="E94" s="78">
        <f>1891.863/1000</f>
        <v>1.8918630000000001</v>
      </c>
      <c r="F94" s="55">
        <f>1046.867/1000</f>
        <v>1.046867</v>
      </c>
      <c r="G94" s="46">
        <f t="shared" si="1"/>
        <v>0.84499600000000008</v>
      </c>
    </row>
    <row r="95" spans="1:7" ht="45" x14ac:dyDescent="0.25">
      <c r="A95" s="4" t="s">
        <v>63</v>
      </c>
      <c r="B95" s="5" t="s">
        <v>68</v>
      </c>
      <c r="C95" s="6" t="s">
        <v>150</v>
      </c>
      <c r="D95" s="62">
        <v>4</v>
      </c>
      <c r="E95" s="78">
        <f>343.166/1000</f>
        <v>0.34316599999999997</v>
      </c>
      <c r="F95" s="58">
        <f>252.058/1000</f>
        <v>0.252058</v>
      </c>
      <c r="G95" s="46">
        <f t="shared" si="1"/>
        <v>9.1107999999999967E-2</v>
      </c>
    </row>
    <row r="96" spans="1:7" ht="45" x14ac:dyDescent="0.25">
      <c r="A96" s="4" t="s">
        <v>63</v>
      </c>
      <c r="B96" s="5" t="s">
        <v>65</v>
      </c>
      <c r="C96" s="22" t="s">
        <v>150</v>
      </c>
      <c r="D96" s="62">
        <v>4</v>
      </c>
      <c r="E96" s="78">
        <f>693.924/1000</f>
        <v>0.69392399999999999</v>
      </c>
      <c r="F96" s="58">
        <f>465.204/1000</f>
        <v>0.46520400000000001</v>
      </c>
      <c r="G96" s="46">
        <f t="shared" si="1"/>
        <v>0.22871999999999998</v>
      </c>
    </row>
    <row r="97" spans="1:7" ht="45" x14ac:dyDescent="0.25">
      <c r="A97" s="4" t="s">
        <v>63</v>
      </c>
      <c r="B97" s="5" t="s">
        <v>70</v>
      </c>
      <c r="C97" s="22" t="s">
        <v>150</v>
      </c>
      <c r="D97" s="62">
        <v>3</v>
      </c>
      <c r="E97" s="78">
        <f>200.646/1000</f>
        <v>0.20064599999999999</v>
      </c>
      <c r="F97" s="58">
        <f>131.884/1000</f>
        <v>0.13188399999999997</v>
      </c>
      <c r="G97" s="46">
        <f t="shared" si="1"/>
        <v>6.8762000000000018E-2</v>
      </c>
    </row>
    <row r="98" spans="1:7" ht="45" x14ac:dyDescent="0.25">
      <c r="A98" s="4" t="s">
        <v>63</v>
      </c>
      <c r="B98" s="5" t="s">
        <v>66</v>
      </c>
      <c r="C98" s="22" t="s">
        <v>150</v>
      </c>
      <c r="D98" s="62">
        <v>4</v>
      </c>
      <c r="E98" s="78">
        <f>706.034/1000</f>
        <v>0.70603399999999994</v>
      </c>
      <c r="F98" s="58">
        <f>550.928/1000</f>
        <v>0.55092799999999997</v>
      </c>
      <c r="G98" s="46">
        <f>E98-F98</f>
        <v>0.15510599999999997</v>
      </c>
    </row>
    <row r="99" spans="1:7" ht="45" x14ac:dyDescent="0.25">
      <c r="A99" s="4" t="s">
        <v>63</v>
      </c>
      <c r="B99" s="5" t="s">
        <v>67</v>
      </c>
      <c r="C99" s="22" t="s">
        <v>150</v>
      </c>
      <c r="D99" s="62">
        <v>4</v>
      </c>
      <c r="E99" s="78">
        <f>425.288/1000</f>
        <v>0.425288</v>
      </c>
      <c r="F99" s="55">
        <f>246.64/1000</f>
        <v>0.24664</v>
      </c>
      <c r="G99" s="46">
        <f t="shared" si="1"/>
        <v>0.178648</v>
      </c>
    </row>
    <row r="100" spans="1:7" ht="45" x14ac:dyDescent="0.25">
      <c r="A100" s="4" t="s">
        <v>63</v>
      </c>
      <c r="B100" s="5" t="s">
        <v>232</v>
      </c>
      <c r="C100" s="22" t="s">
        <v>150</v>
      </c>
      <c r="D100" s="62">
        <v>4</v>
      </c>
      <c r="E100" s="78">
        <f>409.836/1000</f>
        <v>0.40983600000000003</v>
      </c>
      <c r="F100" s="58">
        <f>244.838/1000</f>
        <v>0.244838</v>
      </c>
      <c r="G100" s="46">
        <f t="shared" si="1"/>
        <v>0.16499800000000003</v>
      </c>
    </row>
    <row r="101" spans="1:7" ht="45" x14ac:dyDescent="0.25">
      <c r="A101" s="4" t="s">
        <v>63</v>
      </c>
      <c r="B101" s="5" t="s">
        <v>69</v>
      </c>
      <c r="C101" s="22" t="s">
        <v>150</v>
      </c>
      <c r="D101" s="62">
        <v>4</v>
      </c>
      <c r="E101" s="78">
        <f>385.409/1000</f>
        <v>0.385409</v>
      </c>
      <c r="F101" s="58">
        <f>328.908/1000</f>
        <v>0.32890800000000003</v>
      </c>
      <c r="G101" s="46">
        <f t="shared" si="1"/>
        <v>5.6500999999999968E-2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81">
        <f>139/1000</f>
        <v>0.13900000000000001</v>
      </c>
      <c r="F102" s="58">
        <f>131.98/1000</f>
        <v>0.13197999999999999</v>
      </c>
      <c r="G102" s="46">
        <f t="shared" si="1"/>
        <v>7.0200000000000262E-3</v>
      </c>
    </row>
    <row r="103" spans="1:7" ht="30" x14ac:dyDescent="0.25">
      <c r="A103" s="4" t="s">
        <v>63</v>
      </c>
      <c r="B103" s="5" t="s">
        <v>77</v>
      </c>
      <c r="C103" s="10" t="s">
        <v>141</v>
      </c>
      <c r="D103" s="62">
        <v>6</v>
      </c>
      <c r="E103" s="79">
        <f>3/1000</f>
        <v>3.0000000000000001E-3</v>
      </c>
      <c r="F103" s="58">
        <f>2.776/1000</f>
        <v>2.7759999999999998E-3</v>
      </c>
      <c r="G103" s="46">
        <f t="shared" si="1"/>
        <v>2.2400000000000024E-4</v>
      </c>
    </row>
    <row r="104" spans="1:7" ht="45" x14ac:dyDescent="0.25">
      <c r="A104" s="4" t="s">
        <v>63</v>
      </c>
      <c r="B104" s="5" t="s">
        <v>79</v>
      </c>
      <c r="C104" s="10" t="s">
        <v>141</v>
      </c>
      <c r="D104" s="62">
        <v>6</v>
      </c>
      <c r="E104" s="79">
        <f>2.2/1000</f>
        <v>2.2000000000000001E-3</v>
      </c>
      <c r="F104" s="58">
        <f>2.132/1000</f>
        <v>2.1320000000000002E-3</v>
      </c>
      <c r="G104" s="46">
        <f>E104-F104</f>
        <v>6.7999999999999918E-5</v>
      </c>
    </row>
    <row r="105" spans="1:7" ht="30" x14ac:dyDescent="0.25">
      <c r="A105" s="4" t="s">
        <v>63</v>
      </c>
      <c r="B105" s="5" t="s">
        <v>72</v>
      </c>
      <c r="C105" s="10" t="s">
        <v>141</v>
      </c>
      <c r="D105" s="62">
        <v>6</v>
      </c>
      <c r="E105" s="79">
        <f>26/1000</f>
        <v>2.5999999999999999E-2</v>
      </c>
      <c r="F105" s="58">
        <f>15.435/1000</f>
        <v>1.5435000000000001E-2</v>
      </c>
      <c r="G105" s="46">
        <f t="shared" ref="G105:G117" si="2">E105-F105</f>
        <v>1.0564999999999998E-2</v>
      </c>
    </row>
    <row r="106" spans="1:7" ht="30" x14ac:dyDescent="0.25">
      <c r="A106" s="4" t="s">
        <v>63</v>
      </c>
      <c r="B106" s="5" t="s">
        <v>73</v>
      </c>
      <c r="C106" s="10" t="s">
        <v>141</v>
      </c>
      <c r="D106" s="62">
        <v>6</v>
      </c>
      <c r="E106" s="79">
        <f>8/1000</f>
        <v>8.0000000000000002E-3</v>
      </c>
      <c r="F106" s="55">
        <f>6.153/1000</f>
        <v>6.1529999999999996E-3</v>
      </c>
      <c r="G106" s="46">
        <f t="shared" si="2"/>
        <v>1.8470000000000006E-3</v>
      </c>
    </row>
    <row r="107" spans="1:7" ht="30" x14ac:dyDescent="0.25">
      <c r="A107" s="4" t="s">
        <v>63</v>
      </c>
      <c r="B107" s="5" t="s">
        <v>75</v>
      </c>
      <c r="C107" s="10" t="s">
        <v>141</v>
      </c>
      <c r="D107" s="62">
        <v>5</v>
      </c>
      <c r="E107" s="79">
        <f>3.8/1000</f>
        <v>3.8E-3</v>
      </c>
      <c r="F107" s="55">
        <f>5.311/1000</f>
        <v>5.3109999999999997E-3</v>
      </c>
      <c r="G107" s="46">
        <f t="shared" si="2"/>
        <v>-1.5109999999999998E-3</v>
      </c>
    </row>
    <row r="108" spans="1:7" ht="30" x14ac:dyDescent="0.25">
      <c r="A108" s="4" t="s">
        <v>63</v>
      </c>
      <c r="B108" s="5" t="s">
        <v>81</v>
      </c>
      <c r="C108" s="10" t="s">
        <v>141</v>
      </c>
      <c r="D108" s="62">
        <v>6</v>
      </c>
      <c r="E108" s="79">
        <f>3/1000</f>
        <v>3.0000000000000001E-3</v>
      </c>
      <c r="F108" s="58">
        <f>1.66/1000</f>
        <v>1.66E-3</v>
      </c>
      <c r="G108" s="46">
        <f t="shared" si="2"/>
        <v>1.34E-3</v>
      </c>
    </row>
    <row r="109" spans="1:7" ht="30" x14ac:dyDescent="0.25">
      <c r="A109" s="4" t="s">
        <v>63</v>
      </c>
      <c r="B109" s="5" t="s">
        <v>76</v>
      </c>
      <c r="C109" s="10" t="s">
        <v>141</v>
      </c>
      <c r="D109" s="62">
        <v>6</v>
      </c>
      <c r="E109" s="79">
        <f>4/1000</f>
        <v>4.0000000000000001E-3</v>
      </c>
      <c r="F109" s="55">
        <f>4.129/1000</f>
        <v>4.1289999999999999E-3</v>
      </c>
      <c r="G109" s="46">
        <f t="shared" si="2"/>
        <v>-1.2899999999999977E-4</v>
      </c>
    </row>
    <row r="110" spans="1:7" ht="30" x14ac:dyDescent="0.25">
      <c r="A110" s="4" t="s">
        <v>63</v>
      </c>
      <c r="B110" s="5" t="s">
        <v>80</v>
      </c>
      <c r="C110" s="10" t="s">
        <v>141</v>
      </c>
      <c r="D110" s="62">
        <v>6</v>
      </c>
      <c r="E110" s="79">
        <f>3/1000</f>
        <v>3.0000000000000001E-3</v>
      </c>
      <c r="F110" s="58">
        <f>1.207/1000</f>
        <v>1.2070000000000002E-3</v>
      </c>
      <c r="G110" s="46">
        <f t="shared" si="2"/>
        <v>1.7929999999999999E-3</v>
      </c>
    </row>
    <row r="111" spans="1:7" ht="30" x14ac:dyDescent="0.25">
      <c r="A111" s="4" t="s">
        <v>63</v>
      </c>
      <c r="B111" s="5" t="s">
        <v>74</v>
      </c>
      <c r="C111" s="10" t="s">
        <v>141</v>
      </c>
      <c r="D111" s="62">
        <v>6</v>
      </c>
      <c r="E111" s="79">
        <f>8/1000</f>
        <v>8.0000000000000002E-3</v>
      </c>
      <c r="F111" s="58">
        <f>4.322/1000</f>
        <v>4.3220000000000003E-3</v>
      </c>
      <c r="G111" s="46">
        <f t="shared" si="2"/>
        <v>3.6779999999999998E-3</v>
      </c>
    </row>
    <row r="112" spans="1:7" ht="30" x14ac:dyDescent="0.25">
      <c r="A112" s="4" t="s">
        <v>63</v>
      </c>
      <c r="B112" s="5" t="s">
        <v>78</v>
      </c>
      <c r="C112" s="10" t="s">
        <v>141</v>
      </c>
      <c r="D112" s="62">
        <v>6</v>
      </c>
      <c r="E112" s="79">
        <f>6/1000</f>
        <v>6.0000000000000001E-3</v>
      </c>
      <c r="F112" s="58">
        <f>1.624/1000</f>
        <v>1.624E-3</v>
      </c>
      <c r="G112" s="46">
        <f t="shared" si="2"/>
        <v>4.3759999999999997E-3</v>
      </c>
    </row>
    <row r="113" spans="1:7" ht="30" x14ac:dyDescent="0.25">
      <c r="A113" s="4" t="s">
        <v>63</v>
      </c>
      <c r="B113" s="1" t="s">
        <v>82</v>
      </c>
      <c r="C113" s="10" t="s">
        <v>151</v>
      </c>
      <c r="D113" s="62">
        <v>5</v>
      </c>
      <c r="E113" s="81">
        <f>53/1000</f>
        <v>5.2999999999999999E-2</v>
      </c>
      <c r="F113" s="43">
        <f>38.467/1000</f>
        <v>3.8467000000000001E-2</v>
      </c>
      <c r="G113" s="46">
        <f t="shared" si="2"/>
        <v>1.4532999999999997E-2</v>
      </c>
    </row>
    <row r="114" spans="1:7" ht="45" x14ac:dyDescent="0.25">
      <c r="A114" s="4" t="s">
        <v>63</v>
      </c>
      <c r="B114" s="1" t="s">
        <v>198</v>
      </c>
      <c r="C114" s="10" t="s">
        <v>135</v>
      </c>
      <c r="D114" s="7">
        <v>3</v>
      </c>
      <c r="E114" s="79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199</v>
      </c>
      <c r="C115" s="10" t="s">
        <v>135</v>
      </c>
      <c r="D115" s="7">
        <v>3</v>
      </c>
      <c r="E115" s="79">
        <f>7.3/1000</f>
        <v>7.3000000000000001E-3</v>
      </c>
      <c r="F115" s="43">
        <f>E115</f>
        <v>7.3000000000000001E-3</v>
      </c>
      <c r="G115" s="46">
        <f t="shared" si="2"/>
        <v>0</v>
      </c>
    </row>
    <row r="116" spans="1:7" ht="45" x14ac:dyDescent="0.25">
      <c r="A116" s="4" t="s">
        <v>63</v>
      </c>
      <c r="B116" s="1" t="s">
        <v>200</v>
      </c>
      <c r="C116" s="10" t="s">
        <v>135</v>
      </c>
      <c r="D116" s="7">
        <v>3</v>
      </c>
      <c r="E116" s="79">
        <f>1.025/1000</f>
        <v>1.0249999999999999E-3</v>
      </c>
      <c r="F116" s="43">
        <f>E116</f>
        <v>1.0249999999999999E-3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175</v>
      </c>
      <c r="D117" s="62">
        <v>7</v>
      </c>
      <c r="E117" s="82">
        <f>0.9/1000</f>
        <v>8.9999999999999998E-4</v>
      </c>
      <c r="F117" s="58">
        <f>1.173/1000</f>
        <v>1.173E-3</v>
      </c>
      <c r="G117" s="46">
        <f t="shared" si="2"/>
        <v>-2.7300000000000002E-4</v>
      </c>
    </row>
    <row r="118" spans="1:7" ht="30" x14ac:dyDescent="0.25">
      <c r="A118" s="4" t="s">
        <v>63</v>
      </c>
      <c r="B118" s="5" t="s">
        <v>83</v>
      </c>
      <c r="C118" s="10" t="s">
        <v>175</v>
      </c>
      <c r="D118" s="62">
        <v>6</v>
      </c>
      <c r="E118" s="72">
        <f>3.2/1000</f>
        <v>3.2000000000000002E-3</v>
      </c>
      <c r="F118" s="58">
        <f>4.339/1000</f>
        <v>4.3390000000000008E-3</v>
      </c>
      <c r="G118" s="46">
        <f>E118-F118</f>
        <v>-1.1390000000000007E-3</v>
      </c>
    </row>
    <row r="119" spans="1:7" ht="45" x14ac:dyDescent="0.25">
      <c r="A119" s="4" t="s">
        <v>63</v>
      </c>
      <c r="B119" s="5" t="s">
        <v>85</v>
      </c>
      <c r="C119" s="10" t="s">
        <v>175</v>
      </c>
      <c r="D119" s="62">
        <v>7</v>
      </c>
      <c r="E119" s="82">
        <f>1.2/1000</f>
        <v>1.1999999999999999E-3</v>
      </c>
      <c r="F119" s="58">
        <f>0.629/1000</f>
        <v>6.29E-4</v>
      </c>
      <c r="G119" s="46">
        <f t="shared" ref="G119:G185" si="3">E119-F119</f>
        <v>5.7099999999999989E-4</v>
      </c>
    </row>
    <row r="120" spans="1:7" ht="53.25" customHeight="1" x14ac:dyDescent="0.25">
      <c r="A120" s="4" t="s">
        <v>63</v>
      </c>
      <c r="B120" s="5" t="s">
        <v>84</v>
      </c>
      <c r="C120" s="10" t="s">
        <v>175</v>
      </c>
      <c r="D120" s="62">
        <v>7</v>
      </c>
      <c r="E120" s="82">
        <f>1.2/1000</f>
        <v>1.1999999999999999E-3</v>
      </c>
      <c r="F120" s="58">
        <f>1.244/1000</f>
        <v>1.2440000000000001E-3</v>
      </c>
      <c r="G120" s="46">
        <f t="shared" si="3"/>
        <v>-4.4000000000000202E-5</v>
      </c>
    </row>
    <row r="121" spans="1:7" ht="42.75" customHeight="1" x14ac:dyDescent="0.25">
      <c r="A121" s="4" t="s">
        <v>63</v>
      </c>
      <c r="B121" s="23" t="s">
        <v>239</v>
      </c>
      <c r="C121" s="10" t="s">
        <v>175</v>
      </c>
      <c r="D121" s="62">
        <v>7</v>
      </c>
      <c r="E121" s="82">
        <f>0.5/1000</f>
        <v>5.0000000000000001E-4</v>
      </c>
      <c r="F121" s="55">
        <f>0/1000</f>
        <v>0</v>
      </c>
      <c r="G121" s="46">
        <f>F121-E121</f>
        <v>-5.0000000000000001E-4</v>
      </c>
    </row>
    <row r="122" spans="1:7" ht="27" customHeight="1" x14ac:dyDescent="0.25">
      <c r="A122" s="4" t="s">
        <v>63</v>
      </c>
      <c r="B122" s="1" t="s">
        <v>87</v>
      </c>
      <c r="C122" s="10" t="s">
        <v>152</v>
      </c>
      <c r="D122" s="62">
        <v>6</v>
      </c>
      <c r="E122" s="72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175</v>
      </c>
      <c r="D123" s="62">
        <v>6</v>
      </c>
      <c r="E123" s="82">
        <f>1.15/1000</f>
        <v>1.15E-3</v>
      </c>
      <c r="F123" s="55">
        <f>1.216/1000</f>
        <v>1.2160000000000001E-3</v>
      </c>
      <c r="G123" s="46">
        <f t="shared" si="3"/>
        <v>-6.6000000000000086E-5</v>
      </c>
    </row>
    <row r="124" spans="1:7" ht="30" x14ac:dyDescent="0.25">
      <c r="A124" s="4" t="s">
        <v>63</v>
      </c>
      <c r="B124" s="5" t="s">
        <v>88</v>
      </c>
      <c r="C124" s="10" t="s">
        <v>175</v>
      </c>
      <c r="D124" s="62">
        <v>6</v>
      </c>
      <c r="E124" s="72">
        <f>1.6/1000</f>
        <v>1.6000000000000001E-3</v>
      </c>
      <c r="F124" s="55">
        <f>3.748/1000</f>
        <v>3.748E-3</v>
      </c>
      <c r="G124" s="46">
        <f t="shared" si="3"/>
        <v>-2.1479999999999997E-3</v>
      </c>
    </row>
    <row r="125" spans="1:7" ht="45" x14ac:dyDescent="0.25">
      <c r="A125" s="4" t="s">
        <v>63</v>
      </c>
      <c r="B125" s="5" t="s">
        <v>201</v>
      </c>
      <c r="C125" s="10" t="s">
        <v>175</v>
      </c>
      <c r="D125" s="62">
        <v>6</v>
      </c>
      <c r="E125" s="82">
        <f>1.15/1000</f>
        <v>1.15E-3</v>
      </c>
      <c r="F125" s="55">
        <f>6.43/1000</f>
        <v>6.43E-3</v>
      </c>
      <c r="G125" s="46">
        <f t="shared" si="3"/>
        <v>-5.28E-3</v>
      </c>
    </row>
    <row r="126" spans="1:7" x14ac:dyDescent="0.25">
      <c r="A126" s="4" t="s">
        <v>63</v>
      </c>
      <c r="B126" s="1" t="s">
        <v>90</v>
      </c>
      <c r="C126" s="10" t="s">
        <v>233</v>
      </c>
      <c r="D126" s="62">
        <v>6</v>
      </c>
      <c r="E126" s="72">
        <f>5.7/1000</f>
        <v>5.7000000000000002E-3</v>
      </c>
      <c r="F126" s="56">
        <f>3.614/1000</f>
        <v>3.614E-3</v>
      </c>
      <c r="G126" s="43">
        <f t="shared" si="3"/>
        <v>2.0860000000000002E-3</v>
      </c>
    </row>
    <row r="127" spans="1:7" ht="36" customHeight="1" x14ac:dyDescent="0.25">
      <c r="A127" s="4" t="s">
        <v>63</v>
      </c>
      <c r="B127" s="5" t="s">
        <v>93</v>
      </c>
      <c r="C127" s="10" t="s">
        <v>153</v>
      </c>
      <c r="D127" s="62">
        <v>7</v>
      </c>
      <c r="E127" s="78">
        <f>80/1000</f>
        <v>0.08</v>
      </c>
      <c r="F127" s="43">
        <f>E127</f>
        <v>0.08</v>
      </c>
      <c r="G127" s="46">
        <f t="shared" si="3"/>
        <v>0</v>
      </c>
    </row>
    <row r="128" spans="1:7" ht="30" x14ac:dyDescent="0.25">
      <c r="A128" s="4" t="s">
        <v>63</v>
      </c>
      <c r="B128" s="5" t="s">
        <v>91</v>
      </c>
      <c r="C128" s="10" t="s">
        <v>153</v>
      </c>
      <c r="D128" s="62">
        <v>6</v>
      </c>
      <c r="E128" s="72">
        <f>2.4/1000</f>
        <v>2.3999999999999998E-3</v>
      </c>
      <c r="F128" s="43">
        <f>2.574/1000</f>
        <v>2.5739999999999999E-3</v>
      </c>
      <c r="G128" s="46">
        <f t="shared" si="3"/>
        <v>-1.7400000000000011E-4</v>
      </c>
    </row>
    <row r="129" spans="1:7" ht="30" x14ac:dyDescent="0.25">
      <c r="A129" s="4" t="s">
        <v>63</v>
      </c>
      <c r="B129" s="5" t="s">
        <v>92</v>
      </c>
      <c r="C129" s="6" t="s">
        <v>202</v>
      </c>
      <c r="D129" s="62">
        <v>7</v>
      </c>
      <c r="E129" s="72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154</v>
      </c>
      <c r="D130" s="62">
        <v>6</v>
      </c>
      <c r="E130" s="72">
        <f>3/1000</f>
        <v>3.0000000000000001E-3</v>
      </c>
      <c r="F130" s="58">
        <f>2.785/1000</f>
        <v>2.7850000000000001E-3</v>
      </c>
      <c r="G130" s="46">
        <f t="shared" si="3"/>
        <v>2.1499999999999991E-4</v>
      </c>
    </row>
    <row r="131" spans="1:7" ht="60" x14ac:dyDescent="0.25">
      <c r="A131" s="4" t="s">
        <v>63</v>
      </c>
      <c r="B131" s="5" t="s">
        <v>95</v>
      </c>
      <c r="C131" s="10" t="s">
        <v>175</v>
      </c>
      <c r="D131" s="62">
        <v>6</v>
      </c>
      <c r="E131" s="72">
        <f>7.2/1000</f>
        <v>7.1999999999999998E-3</v>
      </c>
      <c r="F131" s="58">
        <f>2.919/1000</f>
        <v>2.9190000000000002E-3</v>
      </c>
      <c r="G131" s="46">
        <f t="shared" si="3"/>
        <v>4.2810000000000001E-3</v>
      </c>
    </row>
    <row r="132" spans="1:7" ht="57" customHeight="1" x14ac:dyDescent="0.25">
      <c r="A132" s="4" t="s">
        <v>63</v>
      </c>
      <c r="B132" s="5" t="s">
        <v>240</v>
      </c>
      <c r="C132" s="10" t="s">
        <v>175</v>
      </c>
      <c r="D132" s="62">
        <v>6</v>
      </c>
      <c r="E132" s="80">
        <f>7/1000</f>
        <v>7.0000000000000001E-3</v>
      </c>
      <c r="F132" s="55">
        <f>4.2/1000</f>
        <v>4.2000000000000006E-3</v>
      </c>
      <c r="G132" s="46">
        <f t="shared" si="3"/>
        <v>2.7999999999999995E-3</v>
      </c>
    </row>
    <row r="133" spans="1:7" ht="45" x14ac:dyDescent="0.25">
      <c r="A133" s="4" t="s">
        <v>63</v>
      </c>
      <c r="B133" s="5" t="s">
        <v>222</v>
      </c>
      <c r="C133" s="10" t="s">
        <v>175</v>
      </c>
      <c r="D133" s="62">
        <v>6</v>
      </c>
      <c r="E133" s="79">
        <f>3/1000</f>
        <v>3.0000000000000001E-3</v>
      </c>
      <c r="F133" s="58">
        <f>0.02/1000</f>
        <v>2.0000000000000002E-5</v>
      </c>
      <c r="G133" s="46">
        <f t="shared" si="3"/>
        <v>2.98E-3</v>
      </c>
    </row>
    <row r="134" spans="1:7" x14ac:dyDescent="0.25">
      <c r="A134" s="4" t="s">
        <v>63</v>
      </c>
      <c r="B134" s="1" t="s">
        <v>96</v>
      </c>
      <c r="C134" s="6" t="s">
        <v>155</v>
      </c>
      <c r="D134" s="62">
        <v>6</v>
      </c>
      <c r="E134" s="82">
        <f>3.2/1000</f>
        <v>3.2000000000000002E-3</v>
      </c>
      <c r="F134" s="58">
        <f>3.441/1000</f>
        <v>3.441E-3</v>
      </c>
      <c r="G134" s="46">
        <f t="shared" si="3"/>
        <v>-2.4099999999999989E-4</v>
      </c>
    </row>
    <row r="135" spans="1:7" ht="30" x14ac:dyDescent="0.25">
      <c r="A135" s="4" t="s">
        <v>63</v>
      </c>
      <c r="B135" s="5" t="s">
        <v>99</v>
      </c>
      <c r="C135" s="10" t="s">
        <v>156</v>
      </c>
      <c r="D135" s="62">
        <v>6</v>
      </c>
      <c r="E135" s="72">
        <f>1.658/1000</f>
        <v>1.658E-3</v>
      </c>
      <c r="F135" s="58">
        <v>0</v>
      </c>
      <c r="G135" s="4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0" t="s">
        <v>156</v>
      </c>
      <c r="D136" s="62">
        <v>7</v>
      </c>
      <c r="E136" s="72">
        <f>0.772/1000</f>
        <v>7.7200000000000001E-4</v>
      </c>
      <c r="F136" s="58">
        <f>3.164/1000</f>
        <v>3.1640000000000001E-3</v>
      </c>
      <c r="G136" s="46">
        <f t="shared" si="3"/>
        <v>-2.392E-3</v>
      </c>
    </row>
    <row r="137" spans="1:7" ht="30" x14ac:dyDescent="0.25">
      <c r="A137" s="4" t="s">
        <v>63</v>
      </c>
      <c r="B137" s="5" t="s">
        <v>98</v>
      </c>
      <c r="C137" s="10" t="s">
        <v>156</v>
      </c>
      <c r="D137" s="62">
        <v>7</v>
      </c>
      <c r="E137" s="79">
        <f>1.054/1000</f>
        <v>1.054E-3</v>
      </c>
      <c r="F137" s="43">
        <f>0.654/1000</f>
        <v>6.5400000000000007E-4</v>
      </c>
      <c r="G137" s="43">
        <f t="shared" si="3"/>
        <v>3.9999999999999996E-4</v>
      </c>
    </row>
    <row r="138" spans="1:7" ht="30" x14ac:dyDescent="0.25">
      <c r="A138" s="4" t="s">
        <v>63</v>
      </c>
      <c r="B138" s="5" t="s">
        <v>100</v>
      </c>
      <c r="C138" s="6" t="s">
        <v>157</v>
      </c>
      <c r="D138" s="62">
        <v>7</v>
      </c>
      <c r="E138" s="72">
        <f>0.4/1000</f>
        <v>4.0000000000000002E-4</v>
      </c>
      <c r="F138" s="58">
        <f>1.736/1000</f>
        <v>1.7359999999999999E-3</v>
      </c>
      <c r="G138" s="46">
        <f>E138-F138</f>
        <v>-1.3359999999999999E-3</v>
      </c>
    </row>
    <row r="139" spans="1:7" ht="45" x14ac:dyDescent="0.25">
      <c r="A139" s="4" t="s">
        <v>63</v>
      </c>
      <c r="B139" s="5" t="s">
        <v>101</v>
      </c>
      <c r="C139" s="6" t="s">
        <v>157</v>
      </c>
      <c r="D139" s="62">
        <v>7</v>
      </c>
      <c r="E139" s="72">
        <f>0.4/1000</f>
        <v>4.0000000000000002E-4</v>
      </c>
      <c r="F139" s="58">
        <f>0.929/1000</f>
        <v>9.2900000000000003E-4</v>
      </c>
      <c r="G139" s="46">
        <f>E139-F139</f>
        <v>-5.2899999999999996E-4</v>
      </c>
    </row>
    <row r="140" spans="1:7" ht="50.45" customHeight="1" x14ac:dyDescent="0.25">
      <c r="A140" s="4" t="s">
        <v>63</v>
      </c>
      <c r="B140" s="1" t="s">
        <v>169</v>
      </c>
      <c r="C140" s="10" t="s">
        <v>175</v>
      </c>
      <c r="D140" s="62">
        <v>6</v>
      </c>
      <c r="E140" s="72">
        <f>7/1000</f>
        <v>7.0000000000000001E-3</v>
      </c>
      <c r="F140" s="55">
        <f>1.982/1000</f>
        <v>1.9819999999999998E-3</v>
      </c>
      <c r="G140" s="46">
        <f t="shared" si="3"/>
        <v>5.0179999999999999E-3</v>
      </c>
    </row>
    <row r="141" spans="1:7" ht="45" x14ac:dyDescent="0.25">
      <c r="A141" s="4" t="s">
        <v>63</v>
      </c>
      <c r="B141" s="1" t="s">
        <v>102</v>
      </c>
      <c r="C141" s="10" t="s">
        <v>175</v>
      </c>
      <c r="D141" s="62">
        <v>6</v>
      </c>
      <c r="E141" s="72">
        <f>5/1000</f>
        <v>5.0000000000000001E-3</v>
      </c>
      <c r="F141" s="55">
        <f>0.771/1000</f>
        <v>7.7099999999999998E-4</v>
      </c>
      <c r="G141" s="46">
        <f t="shared" si="3"/>
        <v>4.2290000000000001E-3</v>
      </c>
    </row>
    <row r="142" spans="1:7" ht="30" x14ac:dyDescent="0.25">
      <c r="A142" s="4" t="s">
        <v>63</v>
      </c>
      <c r="B142" s="1" t="s">
        <v>103</v>
      </c>
      <c r="C142" s="6" t="s">
        <v>236</v>
      </c>
      <c r="D142" s="62">
        <v>6</v>
      </c>
      <c r="E142" s="72">
        <f>2.5/1000</f>
        <v>2.5000000000000001E-3</v>
      </c>
      <c r="F142" s="56">
        <f>2.45/1000</f>
        <v>2.4500000000000004E-3</v>
      </c>
      <c r="G142" s="46">
        <f t="shared" si="3"/>
        <v>4.9999999999999697E-5</v>
      </c>
    </row>
    <row r="143" spans="1:7" x14ac:dyDescent="0.25">
      <c r="A143" s="4" t="s">
        <v>63</v>
      </c>
      <c r="B143" s="1" t="s">
        <v>249</v>
      </c>
      <c r="C143" s="6" t="s">
        <v>202</v>
      </c>
      <c r="D143" s="62">
        <v>6</v>
      </c>
      <c r="E143" s="79">
        <f>1.5/1000</f>
        <v>1.5E-3</v>
      </c>
      <c r="F143" s="55">
        <f>E143</f>
        <v>1.5E-3</v>
      </c>
      <c r="G143" s="43">
        <f t="shared" si="3"/>
        <v>0</v>
      </c>
    </row>
    <row r="144" spans="1:7" ht="30" x14ac:dyDescent="0.25">
      <c r="A144" s="4" t="s">
        <v>63</v>
      </c>
      <c r="B144" s="1" t="s">
        <v>104</v>
      </c>
      <c r="C144" s="10" t="s">
        <v>175</v>
      </c>
      <c r="D144" s="62">
        <v>6</v>
      </c>
      <c r="E144" s="72">
        <f>2.4/1000</f>
        <v>2.3999999999999998E-3</v>
      </c>
      <c r="F144" s="43">
        <f>E144</f>
        <v>2.3999999999999998E-3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237</v>
      </c>
      <c r="C145" s="10" t="s">
        <v>175</v>
      </c>
      <c r="D145" s="62">
        <v>7</v>
      </c>
      <c r="E145" s="78">
        <f>1.08/1000</f>
        <v>1.08E-3</v>
      </c>
      <c r="F145" s="55">
        <f>1.51/1000</f>
        <v>1.5100000000000001E-3</v>
      </c>
      <c r="G145" s="46">
        <f t="shared" si="3"/>
        <v>-4.3000000000000004E-4</v>
      </c>
    </row>
    <row r="146" spans="1:7" ht="60" x14ac:dyDescent="0.25">
      <c r="A146" s="4" t="s">
        <v>63</v>
      </c>
      <c r="B146" s="24" t="s">
        <v>253</v>
      </c>
      <c r="C146" s="10" t="s">
        <v>175</v>
      </c>
      <c r="D146" s="62">
        <v>7</v>
      </c>
      <c r="E146" s="78">
        <v>0</v>
      </c>
      <c r="F146" s="55">
        <v>0</v>
      </c>
      <c r="G146" s="46">
        <f t="shared" si="3"/>
        <v>0</v>
      </c>
    </row>
    <row r="147" spans="1:7" ht="45" x14ac:dyDescent="0.25">
      <c r="A147" s="4" t="s">
        <v>63</v>
      </c>
      <c r="B147" s="5" t="s">
        <v>105</v>
      </c>
      <c r="C147" s="10" t="s">
        <v>175</v>
      </c>
      <c r="D147" s="62">
        <v>7</v>
      </c>
      <c r="E147" s="78">
        <f>0.9/1000</f>
        <v>8.9999999999999998E-4</v>
      </c>
      <c r="F147" s="55">
        <f>0.641/1000</f>
        <v>6.4099999999999997E-4</v>
      </c>
      <c r="G147" s="46">
        <f t="shared" si="3"/>
        <v>2.5900000000000001E-4</v>
      </c>
    </row>
    <row r="148" spans="1:7" ht="30" x14ac:dyDescent="0.25">
      <c r="A148" s="4" t="s">
        <v>63</v>
      </c>
      <c r="B148" s="5" t="s">
        <v>254</v>
      </c>
      <c r="C148" s="10" t="s">
        <v>175</v>
      </c>
      <c r="D148" s="62">
        <v>6</v>
      </c>
      <c r="E148" s="72">
        <f>1.6/1000</f>
        <v>1.6000000000000001E-3</v>
      </c>
      <c r="F148" s="55">
        <f>1.485/1000</f>
        <v>1.485E-3</v>
      </c>
      <c r="G148" s="46">
        <f t="shared" si="3"/>
        <v>1.1500000000000008E-4</v>
      </c>
    </row>
    <row r="149" spans="1:7" x14ac:dyDescent="0.25">
      <c r="A149" s="4" t="s">
        <v>63</v>
      </c>
      <c r="B149" s="1" t="s">
        <v>106</v>
      </c>
      <c r="C149" s="6" t="s">
        <v>202</v>
      </c>
      <c r="D149" s="62">
        <v>7</v>
      </c>
      <c r="E149" s="78">
        <f>1.35/1000</f>
        <v>1.3500000000000001E-3</v>
      </c>
      <c r="F149" s="55">
        <f>E149</f>
        <v>1.3500000000000001E-3</v>
      </c>
      <c r="G149" s="46">
        <f t="shared" si="3"/>
        <v>0</v>
      </c>
    </row>
    <row r="150" spans="1:7" x14ac:dyDescent="0.25">
      <c r="A150" s="4" t="s">
        <v>63</v>
      </c>
      <c r="B150" s="1" t="s">
        <v>107</v>
      </c>
      <c r="C150" s="6" t="s">
        <v>158</v>
      </c>
      <c r="D150" s="62">
        <v>7</v>
      </c>
      <c r="E150" s="78">
        <f>1.1/1000</f>
        <v>1.1000000000000001E-3</v>
      </c>
      <c r="F150" s="55">
        <f>1.092/1000</f>
        <v>1.0920000000000001E-3</v>
      </c>
      <c r="G150" s="46">
        <f t="shared" si="3"/>
        <v>7.9999999999999776E-6</v>
      </c>
    </row>
    <row r="151" spans="1:7" ht="37.9" customHeight="1" x14ac:dyDescent="0.25">
      <c r="A151" s="4" t="s">
        <v>63</v>
      </c>
      <c r="B151" s="1" t="s">
        <v>108</v>
      </c>
      <c r="C151" s="10" t="s">
        <v>175</v>
      </c>
      <c r="D151" s="62">
        <v>7</v>
      </c>
      <c r="E151" s="72">
        <f>0.75/1000</f>
        <v>7.5000000000000002E-4</v>
      </c>
      <c r="F151" s="56">
        <f>E151</f>
        <v>7.5000000000000002E-4</v>
      </c>
      <c r="G151" s="43">
        <f t="shared" si="3"/>
        <v>0</v>
      </c>
    </row>
    <row r="152" spans="1:7" x14ac:dyDescent="0.25">
      <c r="A152" s="4" t="s">
        <v>63</v>
      </c>
      <c r="B152" s="1" t="s">
        <v>109</v>
      </c>
      <c r="C152" s="6" t="s">
        <v>159</v>
      </c>
      <c r="D152" s="62">
        <v>7</v>
      </c>
      <c r="E152" s="72">
        <f>1.2/1000</f>
        <v>1.1999999999999999E-3</v>
      </c>
      <c r="F152" s="55">
        <f>E152</f>
        <v>1.1999999999999999E-3</v>
      </c>
      <c r="G152" s="46">
        <f t="shared" si="3"/>
        <v>0</v>
      </c>
    </row>
    <row r="153" spans="1:7" ht="45" x14ac:dyDescent="0.25">
      <c r="A153" s="4" t="s">
        <v>63</v>
      </c>
      <c r="B153" s="1" t="s">
        <v>241</v>
      </c>
      <c r="C153" s="10" t="s">
        <v>175</v>
      </c>
      <c r="D153" s="62">
        <v>7</v>
      </c>
      <c r="E153" s="72">
        <f>0.72/1000</f>
        <v>7.1999999999999994E-4</v>
      </c>
      <c r="F153" s="56">
        <f>E153</f>
        <v>7.1999999999999994E-4</v>
      </c>
      <c r="G153" s="43">
        <f t="shared" si="3"/>
        <v>0</v>
      </c>
    </row>
    <row r="154" spans="1:7" ht="30" x14ac:dyDescent="0.25">
      <c r="A154" s="4" t="s">
        <v>63</v>
      </c>
      <c r="B154" s="1" t="s">
        <v>110</v>
      </c>
      <c r="C154" s="6" t="s">
        <v>202</v>
      </c>
      <c r="D154" s="62">
        <v>7</v>
      </c>
      <c r="E154" s="79">
        <f>0.9/1000</f>
        <v>8.9999999999999998E-4</v>
      </c>
      <c r="F154" s="43">
        <f>E154</f>
        <v>8.9999999999999998E-4</v>
      </c>
      <c r="G154" s="43">
        <f t="shared" si="3"/>
        <v>0</v>
      </c>
    </row>
    <row r="155" spans="1:7" ht="45" x14ac:dyDescent="0.25">
      <c r="A155" s="4" t="s">
        <v>63</v>
      </c>
      <c r="B155" s="1" t="s">
        <v>111</v>
      </c>
      <c r="C155" s="6" t="s">
        <v>143</v>
      </c>
      <c r="D155" s="62">
        <v>7</v>
      </c>
      <c r="E155" s="72">
        <v>4.86E-4</v>
      </c>
      <c r="F155" s="43">
        <f>0.103/1000</f>
        <v>1.03E-4</v>
      </c>
      <c r="G155" s="46">
        <f t="shared" si="3"/>
        <v>3.8299999999999999E-4</v>
      </c>
    </row>
    <row r="156" spans="1:7" ht="45" x14ac:dyDescent="0.25">
      <c r="A156" s="4" t="s">
        <v>63</v>
      </c>
      <c r="B156" s="5" t="s">
        <v>203</v>
      </c>
      <c r="C156" s="5" t="s">
        <v>204</v>
      </c>
      <c r="D156" s="62">
        <v>7</v>
      </c>
      <c r="E156" s="78">
        <f>1/1000</f>
        <v>1E-3</v>
      </c>
      <c r="F156" s="55">
        <f>0.167/1000</f>
        <v>1.6700000000000002E-4</v>
      </c>
      <c r="G156" s="46">
        <f t="shared" si="3"/>
        <v>8.3299999999999997E-4</v>
      </c>
    </row>
    <row r="157" spans="1:7" ht="30" x14ac:dyDescent="0.25">
      <c r="A157" s="4" t="s">
        <v>63</v>
      </c>
      <c r="B157" s="5" t="s">
        <v>205</v>
      </c>
      <c r="C157" s="5" t="s">
        <v>206</v>
      </c>
      <c r="D157" s="62">
        <v>7</v>
      </c>
      <c r="E157" s="79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207</v>
      </c>
      <c r="C158" s="5" t="s">
        <v>208</v>
      </c>
      <c r="D158" s="62">
        <v>6</v>
      </c>
      <c r="E158" s="72">
        <f>9/1000</f>
        <v>8.9999999999999993E-3</v>
      </c>
      <c r="F158" s="56">
        <f>E158</f>
        <v>8.9999999999999993E-3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207</v>
      </c>
      <c r="C159" s="5" t="s">
        <v>246</v>
      </c>
      <c r="D159" s="62">
        <v>6</v>
      </c>
      <c r="E159" s="79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209</v>
      </c>
      <c r="C160" s="5" t="s">
        <v>210</v>
      </c>
      <c r="D160" s="62">
        <v>6</v>
      </c>
      <c r="E160" s="78">
        <f>6/1000</f>
        <v>6.0000000000000001E-3</v>
      </c>
      <c r="F160" s="55">
        <f>5.317/1000</f>
        <v>5.3170000000000005E-3</v>
      </c>
      <c r="G160" s="46">
        <f t="shared" si="3"/>
        <v>6.8299999999999958E-4</v>
      </c>
    </row>
    <row r="161" spans="1:7" x14ac:dyDescent="0.25">
      <c r="A161" s="4" t="s">
        <v>63</v>
      </c>
      <c r="B161" s="5" t="s">
        <v>211</v>
      </c>
      <c r="C161" s="5" t="s">
        <v>212</v>
      </c>
      <c r="D161" s="62">
        <v>4</v>
      </c>
      <c r="E161" s="84">
        <f>2330/1000</f>
        <v>2.33</v>
      </c>
      <c r="F161" s="58">
        <f>778.906/1000</f>
        <v>0.77890599999999999</v>
      </c>
      <c r="G161" s="46">
        <f>E161-F161</f>
        <v>1.551094</v>
      </c>
    </row>
    <row r="162" spans="1:7" ht="45" x14ac:dyDescent="0.25">
      <c r="A162" s="4" t="s">
        <v>63</v>
      </c>
      <c r="B162" s="5" t="s">
        <v>213</v>
      </c>
      <c r="C162" s="5" t="s">
        <v>214</v>
      </c>
      <c r="D162" s="62">
        <v>6</v>
      </c>
      <c r="E162" s="72">
        <f>5/1000</f>
        <v>5.0000000000000001E-3</v>
      </c>
      <c r="F162" s="43">
        <v>0</v>
      </c>
      <c r="G162" s="46">
        <f t="shared" si="3"/>
        <v>5.0000000000000001E-3</v>
      </c>
    </row>
    <row r="163" spans="1:7" ht="45" x14ac:dyDescent="0.25">
      <c r="A163" s="4" t="s">
        <v>63</v>
      </c>
      <c r="B163" s="5" t="s">
        <v>113</v>
      </c>
      <c r="C163" s="5" t="s">
        <v>161</v>
      </c>
      <c r="D163" s="62">
        <v>7</v>
      </c>
      <c r="E163" s="88">
        <f>0.022/1000</f>
        <v>2.1999999999999999E-5</v>
      </c>
      <c r="F163" s="58">
        <f>0.01/1000</f>
        <v>1.0000000000000001E-5</v>
      </c>
      <c r="G163" s="46">
        <f t="shared" si="3"/>
        <v>1.1999999999999999E-5</v>
      </c>
    </row>
    <row r="164" spans="1:7" ht="45" x14ac:dyDescent="0.25">
      <c r="A164" s="25" t="s">
        <v>63</v>
      </c>
      <c r="B164" s="17" t="s">
        <v>112</v>
      </c>
      <c r="C164" s="17" t="s">
        <v>160</v>
      </c>
      <c r="D164" s="67">
        <v>7</v>
      </c>
      <c r="E164" s="88">
        <f>0.022/1000</f>
        <v>2.1999999999999999E-5</v>
      </c>
      <c r="F164" s="60">
        <v>2.1999999999999999E-5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114</v>
      </c>
      <c r="C165" s="6" t="s">
        <v>162</v>
      </c>
      <c r="D165" s="68">
        <v>6</v>
      </c>
      <c r="E165" s="79">
        <f>1.845/1000</f>
        <v>1.8450000000000001E-3</v>
      </c>
      <c r="F165" s="43">
        <v>0</v>
      </c>
      <c r="G165" s="43">
        <f t="shared" si="3"/>
        <v>1.8450000000000001E-3</v>
      </c>
    </row>
    <row r="166" spans="1:7" ht="60" x14ac:dyDescent="0.25">
      <c r="A166" s="8" t="s">
        <v>63</v>
      </c>
      <c r="B166" s="1" t="s">
        <v>231</v>
      </c>
      <c r="C166" s="6" t="s">
        <v>230</v>
      </c>
      <c r="D166" s="68">
        <v>7</v>
      </c>
      <c r="E166" s="79">
        <v>2E-3</v>
      </c>
      <c r="F166" s="43">
        <f>0.5/1000</f>
        <v>5.0000000000000001E-4</v>
      </c>
      <c r="G166" s="43">
        <f t="shared" si="3"/>
        <v>1.5E-3</v>
      </c>
    </row>
    <row r="167" spans="1:7" s="41" customFormat="1" ht="30" x14ac:dyDescent="0.25">
      <c r="A167" s="28" t="s">
        <v>115</v>
      </c>
      <c r="B167" s="15" t="s">
        <v>242</v>
      </c>
      <c r="C167" s="6" t="s">
        <v>163</v>
      </c>
      <c r="D167" s="40">
        <v>2</v>
      </c>
      <c r="E167" s="89">
        <f>70/1000</f>
        <v>7.0000000000000007E-2</v>
      </c>
      <c r="F167" s="58">
        <f>100.079/1000</f>
        <v>0.10007899999999999</v>
      </c>
      <c r="G167" s="47">
        <f>E167-F167</f>
        <v>-3.0078999999999981E-2</v>
      </c>
    </row>
    <row r="168" spans="1:7" ht="60" x14ac:dyDescent="0.25">
      <c r="A168" s="12" t="s">
        <v>115</v>
      </c>
      <c r="B168" s="3" t="s">
        <v>116</v>
      </c>
      <c r="C168" s="10" t="s">
        <v>163</v>
      </c>
      <c r="D168" s="26">
        <v>3</v>
      </c>
      <c r="E168" s="79">
        <f>1/1000</f>
        <v>1E-3</v>
      </c>
      <c r="F168" s="43">
        <f>E168</f>
        <v>1E-3</v>
      </c>
      <c r="G168" s="46">
        <f t="shared" si="3"/>
        <v>0</v>
      </c>
    </row>
    <row r="169" spans="1:7" ht="30.6" customHeight="1" x14ac:dyDescent="0.25">
      <c r="A169" s="16" t="s">
        <v>117</v>
      </c>
      <c r="B169" s="5" t="s">
        <v>118</v>
      </c>
      <c r="C169" s="22" t="s">
        <v>164</v>
      </c>
      <c r="D169" s="62">
        <v>4</v>
      </c>
      <c r="E169" s="79">
        <f>350/1000</f>
        <v>0.35</v>
      </c>
      <c r="F169" s="58">
        <f>278.932/1000</f>
        <v>0.27893200000000001</v>
      </c>
      <c r="G169" s="46">
        <f t="shared" si="3"/>
        <v>7.1067999999999965E-2</v>
      </c>
    </row>
    <row r="170" spans="1:7" ht="45" x14ac:dyDescent="0.25">
      <c r="A170" s="16" t="s">
        <v>117</v>
      </c>
      <c r="B170" s="5" t="s">
        <v>120</v>
      </c>
      <c r="C170" s="22" t="s">
        <v>164</v>
      </c>
      <c r="D170" s="62">
        <v>4</v>
      </c>
      <c r="E170" s="79">
        <f>180/1000</f>
        <v>0.18</v>
      </c>
      <c r="F170" s="58">
        <f>117.081/1000</f>
        <v>0.117081</v>
      </c>
      <c r="G170" s="46">
        <f t="shared" si="3"/>
        <v>6.2918999999999989E-2</v>
      </c>
    </row>
    <row r="171" spans="1:7" ht="45" x14ac:dyDescent="0.25">
      <c r="A171" s="16" t="s">
        <v>117</v>
      </c>
      <c r="B171" s="5" t="s">
        <v>119</v>
      </c>
      <c r="C171" s="22" t="s">
        <v>164</v>
      </c>
      <c r="D171" s="62">
        <v>4</v>
      </c>
      <c r="E171" s="79">
        <f>190/1000</f>
        <v>0.19</v>
      </c>
      <c r="F171" s="58">
        <f>105.283/1000</f>
        <v>0.105283</v>
      </c>
      <c r="G171" s="46">
        <f t="shared" si="3"/>
        <v>8.4717000000000001E-2</v>
      </c>
    </row>
    <row r="172" spans="1:7" ht="30" x14ac:dyDescent="0.25">
      <c r="A172" s="16" t="s">
        <v>117</v>
      </c>
      <c r="B172" s="5" t="s">
        <v>121</v>
      </c>
      <c r="C172" s="5" t="s">
        <v>171</v>
      </c>
      <c r="D172" s="62">
        <v>4</v>
      </c>
      <c r="E172" s="79">
        <f>348.05/1000</f>
        <v>0.34805000000000003</v>
      </c>
      <c r="F172" s="43">
        <f>496.485/1000</f>
        <v>0.49648500000000001</v>
      </c>
      <c r="G172" s="46">
        <f t="shared" si="3"/>
        <v>-0.14843499999999998</v>
      </c>
    </row>
    <row r="173" spans="1:7" x14ac:dyDescent="0.25">
      <c r="A173" s="16" t="s">
        <v>117</v>
      </c>
      <c r="B173" s="1" t="s">
        <v>122</v>
      </c>
      <c r="C173" s="6" t="s">
        <v>165</v>
      </c>
      <c r="D173" s="62">
        <v>5</v>
      </c>
      <c r="E173" s="79">
        <f>40/1000</f>
        <v>0.04</v>
      </c>
      <c r="F173" s="55">
        <f>27.018/1000</f>
        <v>2.7018E-2</v>
      </c>
      <c r="G173" s="46">
        <f t="shared" si="3"/>
        <v>1.2982E-2</v>
      </c>
    </row>
    <row r="174" spans="1:7" x14ac:dyDescent="0.25">
      <c r="A174" s="16" t="s">
        <v>117</v>
      </c>
      <c r="B174" s="5" t="s">
        <v>215</v>
      </c>
      <c r="C174" s="5" t="s">
        <v>166</v>
      </c>
      <c r="D174" s="62">
        <v>5</v>
      </c>
      <c r="E174" s="90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117</v>
      </c>
      <c r="B175" s="1" t="s">
        <v>123</v>
      </c>
      <c r="C175" s="6" t="s">
        <v>166</v>
      </c>
      <c r="D175" s="62">
        <v>5</v>
      </c>
      <c r="E175" s="79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117</v>
      </c>
      <c r="B176" s="1" t="s">
        <v>124</v>
      </c>
      <c r="C176" s="6" t="s">
        <v>167</v>
      </c>
      <c r="D176" s="11">
        <v>4</v>
      </c>
      <c r="E176" s="79">
        <v>0</v>
      </c>
      <c r="F176" s="43">
        <v>0</v>
      </c>
      <c r="G176" s="46">
        <f t="shared" si="3"/>
        <v>0</v>
      </c>
    </row>
    <row r="177" spans="1:7" x14ac:dyDescent="0.25">
      <c r="A177" s="16" t="s">
        <v>117</v>
      </c>
      <c r="B177" s="1" t="s">
        <v>125</v>
      </c>
      <c r="C177" s="6" t="s">
        <v>168</v>
      </c>
      <c r="D177" s="62">
        <v>5</v>
      </c>
      <c r="E177" s="78">
        <f>28.043/1000</f>
        <v>2.8042999999999998E-2</v>
      </c>
      <c r="F177" s="55">
        <f>19.908/1000</f>
        <v>1.9908000000000002E-2</v>
      </c>
      <c r="G177" s="46">
        <f t="shared" si="3"/>
        <v>8.1349999999999964E-3</v>
      </c>
    </row>
    <row r="178" spans="1:7" ht="30" x14ac:dyDescent="0.25">
      <c r="A178" s="16" t="s">
        <v>117</v>
      </c>
      <c r="B178" s="1" t="s">
        <v>126</v>
      </c>
      <c r="C178" s="10" t="s">
        <v>175</v>
      </c>
      <c r="D178" s="62">
        <v>5</v>
      </c>
      <c r="E178" s="78">
        <f>7/1000</f>
        <v>7.0000000000000001E-3</v>
      </c>
      <c r="F178" s="58">
        <f>16.419/1000</f>
        <v>1.6419E-2</v>
      </c>
      <c r="G178" s="46">
        <f t="shared" si="3"/>
        <v>-9.4190000000000003E-3</v>
      </c>
    </row>
    <row r="179" spans="1:7" ht="45" x14ac:dyDescent="0.25">
      <c r="A179" s="16" t="s">
        <v>117</v>
      </c>
      <c r="B179" s="1" t="s">
        <v>216</v>
      </c>
      <c r="C179" s="27" t="s">
        <v>135</v>
      </c>
      <c r="D179" s="11">
        <v>4</v>
      </c>
      <c r="E179" s="79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117</v>
      </c>
      <c r="B180" s="1" t="s">
        <v>217</v>
      </c>
      <c r="C180" s="27" t="s">
        <v>135</v>
      </c>
      <c r="D180" s="11">
        <v>4</v>
      </c>
      <c r="E180" s="79">
        <f>0.274/1000</f>
        <v>2.7400000000000005E-4</v>
      </c>
      <c r="F180" s="43">
        <f>E180</f>
        <v>2.7400000000000005E-4</v>
      </c>
      <c r="G180" s="46">
        <f t="shared" si="3"/>
        <v>0</v>
      </c>
    </row>
    <row r="181" spans="1:7" ht="45" x14ac:dyDescent="0.25">
      <c r="A181" s="16" t="s">
        <v>117</v>
      </c>
      <c r="B181" s="1" t="s">
        <v>127</v>
      </c>
      <c r="C181" s="6" t="s">
        <v>170</v>
      </c>
      <c r="D181" s="62">
        <v>6</v>
      </c>
      <c r="E181" s="79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128</v>
      </c>
      <c r="B182" s="1" t="s">
        <v>129</v>
      </c>
      <c r="C182" s="10" t="s">
        <v>164</v>
      </c>
      <c r="D182" s="62">
        <v>4</v>
      </c>
      <c r="E182" s="79">
        <f>190/1000</f>
        <v>0.19</v>
      </c>
      <c r="F182" s="58">
        <f>111.69/1000</f>
        <v>0.11169</v>
      </c>
      <c r="G182" s="46">
        <f t="shared" si="3"/>
        <v>7.8310000000000005E-2</v>
      </c>
    </row>
    <row r="183" spans="1:7" ht="60" x14ac:dyDescent="0.25">
      <c r="A183" s="10" t="s">
        <v>128</v>
      </c>
      <c r="B183" s="1" t="s">
        <v>130</v>
      </c>
      <c r="C183" s="10" t="s">
        <v>135</v>
      </c>
      <c r="D183" s="11">
        <v>4</v>
      </c>
      <c r="E183" s="79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128</v>
      </c>
      <c r="B184" s="1" t="s">
        <v>218</v>
      </c>
      <c r="C184" s="10" t="s">
        <v>135</v>
      </c>
      <c r="D184" s="11">
        <v>4</v>
      </c>
      <c r="E184" s="78">
        <f>0.076/1000</f>
        <v>7.6000000000000004E-5</v>
      </c>
      <c r="F184" s="55">
        <f>E184</f>
        <v>7.6000000000000004E-5</v>
      </c>
      <c r="G184" s="46">
        <f>E184-F184</f>
        <v>0</v>
      </c>
    </row>
    <row r="185" spans="1:7" ht="30.75" thickBot="1" x14ac:dyDescent="0.3">
      <c r="A185" s="28" t="s">
        <v>131</v>
      </c>
      <c r="B185" s="1" t="s">
        <v>132</v>
      </c>
      <c r="C185" s="10" t="s">
        <v>149</v>
      </c>
      <c r="D185" s="11">
        <v>4</v>
      </c>
      <c r="E185" s="81">
        <v>0</v>
      </c>
      <c r="F185" s="59">
        <f>100.831/1000</f>
        <v>0.100831</v>
      </c>
      <c r="G185" s="46">
        <f t="shared" si="3"/>
        <v>-0.100831</v>
      </c>
    </row>
    <row r="186" spans="1:7" ht="15.75" thickBot="1" x14ac:dyDescent="0.3">
      <c r="A186" s="34" t="s">
        <v>6</v>
      </c>
      <c r="B186" s="36"/>
      <c r="C186" s="37"/>
      <c r="D186" s="35"/>
      <c r="E186" s="91">
        <f>SUM(E22:E185)</f>
        <v>19.149018000000009</v>
      </c>
      <c r="F186" s="44">
        <f>SUM(F22:F185)</f>
        <v>13.345488999999993</v>
      </c>
      <c r="G186" s="44">
        <f>E186-F186</f>
        <v>5.8035290000000153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250</v>
      </c>
      <c r="E201" s="92"/>
      <c r="F201" s="69"/>
      <c r="H201" s="70"/>
    </row>
  </sheetData>
  <autoFilter ref="A21:G186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2023-03-07T07:57:18Z</dcterms:modified>
  <cp:contentStatus/>
</cp:coreProperties>
</file>